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888" windowWidth="12048" windowHeight="4932" activeTab="0"/>
  </bookViews>
  <sheets>
    <sheet name="Nal Feb" sheetId="1" r:id="rId1"/>
    <sheet name="Inter Feb" sheetId="2" r:id="rId2"/>
    <sheet name="Hoja1" sheetId="3" r:id="rId3"/>
    <sheet name="Hoja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<sst xmlns="http://schemas.openxmlformats.org/spreadsheetml/2006/main" count="124" uniqueCount="69">
  <si>
    <t>CANCELADOS</t>
  </si>
  <si>
    <t>DEMORADOS</t>
  </si>
  <si>
    <t>ANALISIS DE CUMPLIMIENTO</t>
  </si>
  <si>
    <t>EMPRESAS INTERNACIONALES</t>
  </si>
  <si>
    <t>No.</t>
  </si>
  <si>
    <t>CONCEPTO</t>
  </si>
  <si>
    <t>AMERICAN</t>
  </si>
  <si>
    <t>AVIANCA</t>
  </si>
  <si>
    <t>CUBANA</t>
  </si>
  <si>
    <t>DELTA</t>
  </si>
  <si>
    <t>IBERIA</t>
  </si>
  <si>
    <t>TAME</t>
  </si>
  <si>
    <t>LACSA</t>
  </si>
  <si>
    <t>TOTAL</t>
  </si>
  <si>
    <t>VUELOS PROGRAMADOS</t>
  </si>
  <si>
    <t>VUELOS ADICIONALES</t>
  </si>
  <si>
    <t>No. VUELOS</t>
  </si>
  <si>
    <t>MINUTOS</t>
  </si>
  <si>
    <t>TOTAL VUELOS</t>
  </si>
  <si>
    <t>VUELOS VENDIDOS</t>
  </si>
  <si>
    <t>VUELOS CUMPLIDOS</t>
  </si>
  <si>
    <t>TIEMPO PROMEDIO POR DEMORA</t>
  </si>
  <si>
    <t>VUELOS DEMORADOS</t>
  </si>
  <si>
    <t>VUELOS CANCELADOS</t>
  </si>
  <si>
    <t>TACA  PERU</t>
  </si>
  <si>
    <t>LAN  PERU</t>
  </si>
  <si>
    <t>AI R E S</t>
  </si>
  <si>
    <t>AIR  CANADA</t>
  </si>
  <si>
    <t>POR FALTA DE TRAFICO</t>
  </si>
  <si>
    <t>POR INCONTROLABLES</t>
  </si>
  <si>
    <t>POR DAÑOS TECNICOS</t>
  </si>
  <si>
    <t>POR OPERACIONALES</t>
  </si>
  <si>
    <t>CUMPLIMIENTO DEL SERVICIO</t>
  </si>
  <si>
    <t>VUELOS CHARTERS</t>
  </si>
  <si>
    <t xml:space="preserve"> POR FALTA DE TRAFICO</t>
  </si>
  <si>
    <t xml:space="preserve"> POR INCONTROLABLES</t>
  </si>
  <si>
    <t>NUMERO</t>
  </si>
  <si>
    <t>AEROREPUBLICA</t>
  </si>
  <si>
    <t>A. GALAPAGOS</t>
  </si>
  <si>
    <t>EMPRESAS NACIONALES</t>
  </si>
  <si>
    <t>RPB</t>
  </si>
  <si>
    <t>ARE</t>
  </si>
  <si>
    <t>AVA</t>
  </si>
  <si>
    <t>EFY</t>
  </si>
  <si>
    <t>NO ESPECIFICOS</t>
  </si>
  <si>
    <t>NSE</t>
  </si>
  <si>
    <t>A. ARGENTINAS</t>
  </si>
  <si>
    <t>AIR FRANCE</t>
  </si>
  <si>
    <t>CONTINENTAL</t>
  </si>
  <si>
    <t>TOTAL INCONTROLABLES Y TRAFICO</t>
  </si>
  <si>
    <t>TOTAL DAÑOS TECNICOS Y OPERACIONALES</t>
  </si>
  <si>
    <t>ADA</t>
  </si>
  <si>
    <t>CUMPLIMIENTO DE ITINERARIOS REGISTRADOS EN LA UAEAC</t>
  </si>
  <si>
    <t>COPA</t>
  </si>
  <si>
    <t>LAN CHILE</t>
  </si>
  <si>
    <t>JETBLUE</t>
  </si>
  <si>
    <t>SPIRIT</t>
  </si>
  <si>
    <t>Fuente: Torre de Control/Itinerarios/Aerolineas</t>
  </si>
  <si>
    <t>AEROMEXICO</t>
  </si>
  <si>
    <t>LUFTHANSA</t>
  </si>
  <si>
    <t>VUELOS CANCELADOS - CRUCE DE DATOS</t>
  </si>
  <si>
    <t>VUELOS DEMORADOS - CRUCE DE DATOS</t>
  </si>
  <si>
    <t>CONVIASA</t>
  </si>
  <si>
    <t xml:space="preserve">OCEAN AIR </t>
  </si>
  <si>
    <t>INSEL AIR</t>
  </si>
  <si>
    <t>MES : FEBRERO 2012</t>
  </si>
  <si>
    <t>TACA INTER</t>
  </si>
  <si>
    <t>TAM</t>
  </si>
  <si>
    <t>TIARA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</si>
</sst>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"/>
    <numFmt numFmtId="189" formatCode="0.0%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.0"/>
    <numFmt numFmtId="199" formatCode="0.0\ %"/>
    <numFmt numFmtId="200" formatCode="0.0"/>
    <numFmt numFmtId="201" formatCode="_-* #,##0.00\ [$€]_-;\-* #,##0.00\ [$€]_-;_-* &quot;-&quot;??\ [$€]_-;_-@_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"/>
    <numFmt numFmtId="208" formatCode="[$-240A]hh:mm:ss\ AM/PM"/>
    <numFmt numFmtId="209" formatCode="[$-240A]dddd\,\ dd&quot; de &quot;mmmm&quot; de &quot;yyyy"/>
    <numFmt numFmtId="210" formatCode="[$-C0A]dddd\,\ dd&quot; de &quot;mmmm&quot; de &quot;yyyy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3.25"/>
      <color indexed="8"/>
      <name val="Arial"/>
      <family val="0"/>
    </font>
    <font>
      <b/>
      <sz val="2"/>
      <color indexed="8"/>
      <name val="Comic Sans MS"/>
      <family val="0"/>
    </font>
    <font>
      <b/>
      <sz val="1.5"/>
      <color indexed="8"/>
      <name val="Comic Sans MS"/>
      <family val="0"/>
    </font>
    <font>
      <sz val="1.75"/>
      <color indexed="8"/>
      <name val="Comic Sans MS"/>
      <family val="0"/>
    </font>
    <font>
      <b/>
      <sz val="1.75"/>
      <color indexed="8"/>
      <name val="Comic Sans MS"/>
      <family val="0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3.5"/>
      <color indexed="8"/>
      <name val="Arial"/>
      <family val="0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13" xfId="0" applyNumberFormat="1" applyFont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3" fontId="9" fillId="33" borderId="18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right"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9" fillId="0" borderId="22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9" fillId="0" borderId="23" xfId="0" applyNumberFormat="1" applyFont="1" applyBorder="1" applyAlignment="1" applyProtection="1">
      <alignment horizontal="right"/>
      <protection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3" fontId="9" fillId="0" borderId="27" xfId="0" applyNumberFormat="1" applyFont="1" applyBorder="1" applyAlignment="1" applyProtection="1">
      <alignment horizontal="right"/>
      <protection/>
    </xf>
    <xf numFmtId="3" fontId="8" fillId="33" borderId="28" xfId="0" applyNumberFormat="1" applyFont="1" applyFill="1" applyBorder="1" applyAlignment="1" applyProtection="1">
      <alignment horizontal="right"/>
      <protection/>
    </xf>
    <xf numFmtId="3" fontId="8" fillId="33" borderId="29" xfId="0" applyNumberFormat="1" applyFont="1" applyFill="1" applyBorder="1" applyAlignment="1" applyProtection="1">
      <alignment horizontal="right"/>
      <protection/>
    </xf>
    <xf numFmtId="3" fontId="8" fillId="33" borderId="30" xfId="0" applyNumberFormat="1" applyFont="1" applyFill="1" applyBorder="1" applyAlignment="1" applyProtection="1">
      <alignment horizontal="right"/>
      <protection/>
    </xf>
    <xf numFmtId="3" fontId="8" fillId="33" borderId="31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3" fontId="8" fillId="33" borderId="37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 applyProtection="1">
      <alignment horizontal="right"/>
      <protection/>
    </xf>
    <xf numFmtId="0" fontId="10" fillId="34" borderId="38" xfId="0" applyFont="1" applyFill="1" applyBorder="1" applyAlignment="1" applyProtection="1">
      <alignment horizontal="center" textRotation="90"/>
      <protection/>
    </xf>
    <xf numFmtId="0" fontId="10" fillId="34" borderId="10" xfId="0" applyFont="1" applyFill="1" applyBorder="1" applyAlignment="1" applyProtection="1">
      <alignment horizontal="center" textRotation="90"/>
      <protection/>
    </xf>
    <xf numFmtId="3" fontId="9" fillId="0" borderId="39" xfId="0" applyNumberFormat="1" applyFont="1" applyBorder="1" applyAlignment="1" applyProtection="1">
      <alignment horizontal="right"/>
      <protection/>
    </xf>
    <xf numFmtId="3" fontId="9" fillId="0" borderId="40" xfId="0" applyNumberFormat="1" applyFont="1" applyBorder="1" applyAlignment="1" applyProtection="1">
      <alignment horizontal="right"/>
      <protection/>
    </xf>
    <xf numFmtId="3" fontId="9" fillId="0" borderId="41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 applyProtection="1">
      <alignment horizontal="right"/>
      <protection/>
    </xf>
    <xf numFmtId="0" fontId="10" fillId="0" borderId="28" xfId="0" applyFont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left"/>
      <protection/>
    </xf>
    <xf numFmtId="3" fontId="9" fillId="0" borderId="43" xfId="0" applyNumberFormat="1" applyFont="1" applyBorder="1" applyAlignment="1" applyProtection="1">
      <alignment horizontal="right"/>
      <protection/>
    </xf>
    <xf numFmtId="3" fontId="9" fillId="0" borderId="44" xfId="0" applyNumberFormat="1" applyFont="1" applyBorder="1" applyAlignment="1" applyProtection="1">
      <alignment horizontal="right"/>
      <protection/>
    </xf>
    <xf numFmtId="3" fontId="8" fillId="0" borderId="26" xfId="0" applyNumberFormat="1" applyFont="1" applyBorder="1" applyAlignment="1" applyProtection="1">
      <alignment horizontal="right"/>
      <protection/>
    </xf>
    <xf numFmtId="9" fontId="8" fillId="35" borderId="18" xfId="54" applyNumberFormat="1" applyFont="1" applyFill="1" applyBorder="1" applyAlignment="1" applyProtection="1">
      <alignment horizontal="center"/>
      <protection/>
    </xf>
    <xf numFmtId="3" fontId="8" fillId="36" borderId="37" xfId="0" applyNumberFormat="1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10" fillId="36" borderId="45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0" fontId="6" fillId="34" borderId="46" xfId="0" applyFont="1" applyFill="1" applyBorder="1" applyAlignment="1" applyProtection="1">
      <alignment horizontal="center" textRotation="90"/>
      <protection/>
    </xf>
    <xf numFmtId="0" fontId="6" fillId="0" borderId="34" xfId="0" applyFont="1" applyBorder="1" applyAlignment="1" applyProtection="1">
      <alignment horizontal="center"/>
      <protection/>
    </xf>
    <xf numFmtId="3" fontId="13" fillId="33" borderId="18" xfId="0" applyNumberFormat="1" applyFont="1" applyFill="1" applyBorder="1" applyAlignment="1" applyProtection="1">
      <alignment horizontal="right"/>
      <protection/>
    </xf>
    <xf numFmtId="3" fontId="13" fillId="33" borderId="19" xfId="0" applyNumberFormat="1" applyFont="1" applyFill="1" applyBorder="1" applyAlignment="1" applyProtection="1">
      <alignment horizontal="right"/>
      <protection/>
    </xf>
    <xf numFmtId="3" fontId="12" fillId="33" borderId="10" xfId="0" applyNumberFormat="1" applyFont="1" applyFill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left"/>
      <protection/>
    </xf>
    <xf numFmtId="3" fontId="13" fillId="0" borderId="39" xfId="0" applyNumberFormat="1" applyFont="1" applyBorder="1" applyAlignment="1" applyProtection="1">
      <alignment horizontal="right"/>
      <protection/>
    </xf>
    <xf numFmtId="3" fontId="13" fillId="0" borderId="40" xfId="0" applyNumberFormat="1" applyFont="1" applyBorder="1" applyAlignment="1" applyProtection="1">
      <alignment horizontal="right"/>
      <protection/>
    </xf>
    <xf numFmtId="3" fontId="13" fillId="0" borderId="40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3" fontId="13" fillId="0" borderId="48" xfId="0" applyNumberFormat="1" applyFont="1" applyBorder="1" applyAlignment="1" applyProtection="1">
      <alignment horizontal="right"/>
      <protection/>
    </xf>
    <xf numFmtId="3" fontId="13" fillId="0" borderId="48" xfId="0" applyNumberFormat="1" applyFont="1" applyFill="1" applyBorder="1" applyAlignment="1" applyProtection="1">
      <alignment horizontal="right"/>
      <protection/>
    </xf>
    <xf numFmtId="0" fontId="6" fillId="0" borderId="49" xfId="0" applyFont="1" applyBorder="1" applyAlignment="1" applyProtection="1">
      <alignment horizontal="center"/>
      <protection/>
    </xf>
    <xf numFmtId="3" fontId="13" fillId="0" borderId="40" xfId="0" applyNumberFormat="1" applyFont="1" applyFill="1" applyBorder="1" applyAlignment="1">
      <alignment horizontal="right"/>
    </xf>
    <xf numFmtId="0" fontId="6" fillId="0" borderId="50" xfId="0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 horizontal="right"/>
      <protection/>
    </xf>
    <xf numFmtId="3" fontId="13" fillId="0" borderId="13" xfId="0" applyNumberFormat="1" applyFont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>
      <alignment horizontal="right"/>
    </xf>
    <xf numFmtId="3" fontId="13" fillId="0" borderId="23" xfId="0" applyNumberFormat="1" applyFont="1" applyBorder="1" applyAlignment="1" applyProtection="1">
      <alignment horizontal="right"/>
      <protection/>
    </xf>
    <xf numFmtId="3" fontId="13" fillId="0" borderId="24" xfId="0" applyNumberFormat="1" applyFont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>
      <alignment horizontal="right"/>
    </xf>
    <xf numFmtId="3" fontId="13" fillId="0" borderId="18" xfId="0" applyNumberFormat="1" applyFont="1" applyBorder="1" applyAlignment="1" applyProtection="1">
      <alignment horizontal="right"/>
      <protection/>
    </xf>
    <xf numFmtId="3" fontId="13" fillId="0" borderId="19" xfId="0" applyNumberFormat="1" applyFont="1" applyBorder="1" applyAlignment="1" applyProtection="1">
      <alignment horizontal="right"/>
      <protection/>
    </xf>
    <xf numFmtId="3" fontId="13" fillId="0" borderId="39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35" borderId="47" xfId="0" applyFont="1" applyFill="1" applyBorder="1" applyAlignment="1" applyProtection="1">
      <alignment horizontal="center"/>
      <protection/>
    </xf>
    <xf numFmtId="0" fontId="6" fillId="34" borderId="47" xfId="0" applyFont="1" applyFill="1" applyBorder="1" applyAlignment="1" applyProtection="1">
      <alignment horizontal="center" vertical="center" wrapText="1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10" fillId="34" borderId="51" xfId="0" applyFont="1" applyFill="1" applyBorder="1" applyAlignment="1" applyProtection="1">
      <alignment horizontal="center" vertical="center" wrapText="1"/>
      <protection/>
    </xf>
    <xf numFmtId="9" fontId="8" fillId="34" borderId="43" xfId="54" applyNumberFormat="1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 applyProtection="1">
      <alignment horizontal="center" vertical="center"/>
      <protection/>
    </xf>
    <xf numFmtId="0" fontId="6" fillId="37" borderId="47" xfId="0" applyFont="1" applyFill="1" applyBorder="1" applyAlignment="1" applyProtection="1">
      <alignment horizontal="center"/>
      <protection/>
    </xf>
    <xf numFmtId="3" fontId="12" fillId="37" borderId="37" xfId="0" applyNumberFormat="1" applyFont="1" applyFill="1" applyBorder="1" applyAlignment="1" applyProtection="1">
      <alignment horizontal="center"/>
      <protection/>
    </xf>
    <xf numFmtId="0" fontId="6" fillId="37" borderId="47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8" fillId="0" borderId="55" xfId="0" applyNumberFormat="1" applyFont="1" applyBorder="1" applyAlignment="1" applyProtection="1">
      <alignment horizontal="right"/>
      <protection/>
    </xf>
    <xf numFmtId="3" fontId="13" fillId="0" borderId="56" xfId="0" applyNumberFormat="1" applyFont="1" applyBorder="1" applyAlignment="1" applyProtection="1">
      <alignment horizontal="right"/>
      <protection/>
    </xf>
    <xf numFmtId="0" fontId="6" fillId="37" borderId="47" xfId="0" applyFont="1" applyFill="1" applyBorder="1" applyAlignment="1" applyProtection="1">
      <alignment horizontal="left"/>
      <protection/>
    </xf>
    <xf numFmtId="3" fontId="13" fillId="37" borderId="18" xfId="0" applyNumberFormat="1" applyFont="1" applyFill="1" applyBorder="1" applyAlignment="1" applyProtection="1">
      <alignment horizontal="right"/>
      <protection/>
    </xf>
    <xf numFmtId="3" fontId="13" fillId="37" borderId="19" xfId="0" applyNumberFormat="1" applyFont="1" applyFill="1" applyBorder="1" applyAlignment="1" applyProtection="1">
      <alignment horizontal="right"/>
      <protection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19" xfId="0" applyNumberFormat="1" applyFont="1" applyFill="1" applyBorder="1" applyAlignment="1">
      <alignment horizontal="right" vertical="center"/>
    </xf>
    <xf numFmtId="3" fontId="9" fillId="33" borderId="20" xfId="0" applyNumberFormat="1" applyFont="1" applyFill="1" applyBorder="1" applyAlignment="1">
      <alignment horizontal="right" vertical="center" wrapText="1"/>
    </xf>
    <xf numFmtId="3" fontId="8" fillId="33" borderId="57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right"/>
      <protection/>
    </xf>
    <xf numFmtId="3" fontId="9" fillId="0" borderId="59" xfId="0" applyNumberFormat="1" applyFont="1" applyBorder="1" applyAlignment="1" applyProtection="1">
      <alignment horizontal="right"/>
      <protection/>
    </xf>
    <xf numFmtId="3" fontId="9" fillId="0" borderId="60" xfId="0" applyNumberFormat="1" applyFont="1" applyBorder="1" applyAlignment="1" applyProtection="1">
      <alignment horizontal="right"/>
      <protection/>
    </xf>
    <xf numFmtId="3" fontId="8" fillId="33" borderId="38" xfId="0" applyNumberFormat="1" applyFont="1" applyFill="1" applyBorder="1" applyAlignment="1">
      <alignment horizontal="right" vertical="center" wrapText="1"/>
    </xf>
    <xf numFmtId="3" fontId="9" fillId="0" borderId="61" xfId="0" applyNumberFormat="1" applyFont="1" applyBorder="1" applyAlignment="1" applyProtection="1">
      <alignment horizontal="right"/>
      <protection/>
    </xf>
    <xf numFmtId="3" fontId="9" fillId="0" borderId="62" xfId="0" applyNumberFormat="1" applyFont="1" applyBorder="1" applyAlignment="1" applyProtection="1">
      <alignment horizontal="right"/>
      <protection/>
    </xf>
    <xf numFmtId="3" fontId="9" fillId="0" borderId="63" xfId="0" applyNumberFormat="1" applyFont="1" applyBorder="1" applyAlignment="1" applyProtection="1">
      <alignment horizontal="right"/>
      <protection/>
    </xf>
    <xf numFmtId="3" fontId="9" fillId="0" borderId="64" xfId="0" applyNumberFormat="1" applyFont="1" applyBorder="1" applyAlignment="1" applyProtection="1">
      <alignment horizontal="right"/>
      <protection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3" borderId="16" xfId="0" applyNumberFormat="1" applyFont="1" applyFill="1" applyBorder="1" applyAlignment="1">
      <alignment horizontal="right" vertical="center" wrapText="1"/>
    </xf>
    <xf numFmtId="3" fontId="9" fillId="33" borderId="65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8" fillId="33" borderId="66" xfId="0" applyNumberFormat="1" applyFont="1" applyFill="1" applyBorder="1" applyAlignment="1" applyProtection="1">
      <alignment horizontal="right"/>
      <protection/>
    </xf>
    <xf numFmtId="3" fontId="8" fillId="33" borderId="67" xfId="0" applyNumberFormat="1" applyFont="1" applyFill="1" applyBorder="1" applyAlignment="1" applyProtection="1">
      <alignment horizontal="right"/>
      <protection/>
    </xf>
    <xf numFmtId="0" fontId="10" fillId="33" borderId="35" xfId="0" applyFont="1" applyFill="1" applyBorder="1" applyAlignment="1" applyProtection="1">
      <alignment horizontal="left"/>
      <protection/>
    </xf>
    <xf numFmtId="3" fontId="8" fillId="33" borderId="38" xfId="0" applyNumberFormat="1" applyFont="1" applyFill="1" applyBorder="1" applyAlignment="1" applyProtection="1">
      <alignment horizontal="right"/>
      <protection/>
    </xf>
    <xf numFmtId="3" fontId="8" fillId="0" borderId="28" xfId="0" applyNumberFormat="1" applyFont="1" applyBorder="1" applyAlignment="1" applyProtection="1">
      <alignment horizontal="right"/>
      <protection/>
    </xf>
    <xf numFmtId="3" fontId="8" fillId="0" borderId="29" xfId="0" applyNumberFormat="1" applyFont="1" applyBorder="1" applyAlignment="1" applyProtection="1">
      <alignment horizontal="right"/>
      <protection/>
    </xf>
    <xf numFmtId="3" fontId="8" fillId="0" borderId="42" xfId="0" applyNumberFormat="1" applyFont="1" applyBorder="1" applyAlignment="1" applyProtection="1">
      <alignment horizontal="right"/>
      <protection/>
    </xf>
    <xf numFmtId="9" fontId="8" fillId="34" borderId="68" xfId="54" applyNumberFormat="1" applyFont="1" applyFill="1" applyBorder="1" applyAlignment="1" applyProtection="1">
      <alignment horizontal="center" vertical="center" wrapText="1"/>
      <protection/>
    </xf>
    <xf numFmtId="9" fontId="8" fillId="35" borderId="10" xfId="54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17" xfId="0" applyFont="1" applyBorder="1" applyAlignment="1">
      <alignment/>
    </xf>
    <xf numFmtId="9" fontId="12" fillId="34" borderId="69" xfId="54" applyNumberFormat="1" applyFont="1" applyFill="1" applyBorder="1" applyAlignment="1" applyProtection="1">
      <alignment horizontal="center" vertical="center" wrapText="1"/>
      <protection/>
    </xf>
    <xf numFmtId="9" fontId="12" fillId="35" borderId="10" xfId="54" applyNumberFormat="1" applyFont="1" applyFill="1" applyBorder="1" applyAlignment="1" applyProtection="1">
      <alignment horizontal="center"/>
      <protection/>
    </xf>
    <xf numFmtId="3" fontId="12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6" borderId="10" xfId="0" applyNumberFormat="1" applyFont="1" applyFill="1" applyBorder="1" applyAlignment="1" applyProtection="1">
      <alignment horizontal="center"/>
      <protection/>
    </xf>
    <xf numFmtId="3" fontId="8" fillId="36" borderId="45" xfId="0" applyNumberFormat="1" applyFont="1" applyFill="1" applyBorder="1" applyAlignment="1" applyProtection="1">
      <alignment horizontal="center"/>
      <protection/>
    </xf>
    <xf numFmtId="9" fontId="12" fillId="34" borderId="10" xfId="54" applyNumberFormat="1" applyFont="1" applyFill="1" applyBorder="1" applyAlignment="1" applyProtection="1">
      <alignment horizontal="center" vertical="center" wrapText="1"/>
      <protection/>
    </xf>
    <xf numFmtId="9" fontId="12" fillId="35" borderId="37" xfId="54" applyNumberFormat="1" applyFont="1" applyFill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right"/>
      <protection/>
    </xf>
    <xf numFmtId="3" fontId="12" fillId="0" borderId="29" xfId="0" applyNumberFormat="1" applyFont="1" applyBorder="1" applyAlignment="1" applyProtection="1">
      <alignment horizontal="right"/>
      <protection/>
    </xf>
    <xf numFmtId="3" fontId="12" fillId="0" borderId="42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0" fillId="0" borderId="42" xfId="0" applyFont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0" borderId="39" xfId="0" applyFont="1" applyBorder="1" applyAlignment="1" applyProtection="1">
      <alignment horizontal="left"/>
      <protection/>
    </xf>
    <xf numFmtId="0" fontId="10" fillId="0" borderId="40" xfId="0" applyFont="1" applyBorder="1" applyAlignment="1" applyProtection="1">
      <alignment horizontal="left"/>
      <protection/>
    </xf>
    <xf numFmtId="0" fontId="10" fillId="0" borderId="70" xfId="0" applyFont="1" applyBorder="1" applyAlignment="1" applyProtection="1">
      <alignment horizontal="left"/>
      <protection/>
    </xf>
    <xf numFmtId="0" fontId="10" fillId="0" borderId="55" xfId="0" applyFont="1" applyBorder="1" applyAlignment="1" applyProtection="1">
      <alignment horizontal="left"/>
      <protection/>
    </xf>
    <xf numFmtId="0" fontId="10" fillId="0" borderId="48" xfId="0" applyFont="1" applyBorder="1" applyAlignment="1" applyProtection="1">
      <alignment horizontal="left"/>
      <protection/>
    </xf>
    <xf numFmtId="0" fontId="10" fillId="0" borderId="71" xfId="0" applyFont="1" applyBorder="1" applyAlignment="1" applyProtection="1">
      <alignment horizontal="left"/>
      <protection/>
    </xf>
    <xf numFmtId="0" fontId="11" fillId="34" borderId="34" xfId="0" applyFont="1" applyFill="1" applyBorder="1" applyAlignment="1" applyProtection="1">
      <alignment horizontal="center" vertical="center" textRotation="255"/>
      <protection/>
    </xf>
    <xf numFmtId="0" fontId="11" fillId="34" borderId="32" xfId="0" applyFont="1" applyFill="1" applyBorder="1" applyAlignment="1" applyProtection="1">
      <alignment horizontal="center" vertical="center" textRotation="255"/>
      <protection/>
    </xf>
    <xf numFmtId="0" fontId="11" fillId="34" borderId="33" xfId="0" applyFont="1" applyFill="1" applyBorder="1" applyAlignment="1" applyProtection="1">
      <alignment horizontal="center" vertical="center" textRotation="255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7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10" fillId="33" borderId="73" xfId="0" applyFont="1" applyFill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0" borderId="73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1" fillId="34" borderId="35" xfId="0" applyFont="1" applyFill="1" applyBorder="1" applyAlignment="1" applyProtection="1">
      <alignment horizontal="center" vertical="center" textRotation="255"/>
      <protection/>
    </xf>
    <xf numFmtId="0" fontId="11" fillId="34" borderId="36" xfId="0" applyFont="1" applyFill="1" applyBorder="1" applyAlignment="1" applyProtection="1">
      <alignment horizontal="center" vertical="center" textRotation="255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7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0" fillId="35" borderId="14" xfId="0" applyFont="1" applyFill="1" applyBorder="1" applyAlignment="1" applyProtection="1">
      <alignment horizontal="left"/>
      <protection/>
    </xf>
    <xf numFmtId="0" fontId="10" fillId="35" borderId="16" xfId="0" applyFont="1" applyFill="1" applyBorder="1" applyAlignment="1" applyProtection="1">
      <alignment horizontal="left"/>
      <protection/>
    </xf>
    <xf numFmtId="0" fontId="10" fillId="35" borderId="65" xfId="0" applyFont="1" applyFill="1" applyBorder="1" applyAlignment="1" applyProtection="1">
      <alignment horizontal="left"/>
      <protection/>
    </xf>
    <xf numFmtId="0" fontId="10" fillId="36" borderId="14" xfId="0" applyFont="1" applyFill="1" applyBorder="1" applyAlignment="1" applyProtection="1">
      <alignment horizontal="left"/>
      <protection/>
    </xf>
    <xf numFmtId="0" fontId="10" fillId="36" borderId="74" xfId="0" applyFont="1" applyFill="1" applyBorder="1" applyAlignment="1" applyProtection="1">
      <alignment horizontal="left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37" borderId="28" xfId="0" applyFont="1" applyFill="1" applyBorder="1" applyAlignment="1" applyProtection="1">
      <alignment horizontal="left" vertical="center"/>
      <protection/>
    </xf>
    <xf numFmtId="0" fontId="10" fillId="37" borderId="42" xfId="0" applyFont="1" applyFill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6" fillId="0" borderId="47" xfId="0" applyFont="1" applyBorder="1" applyAlignment="1" applyProtection="1">
      <alignment horizontal="left"/>
      <protection/>
    </xf>
    <xf numFmtId="0" fontId="6" fillId="0" borderId="75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6" fillId="37" borderId="46" xfId="0" applyFont="1" applyFill="1" applyBorder="1" applyAlignment="1" applyProtection="1">
      <alignment horizontal="left" vertical="center"/>
      <protection/>
    </xf>
    <xf numFmtId="0" fontId="6" fillId="37" borderId="37" xfId="0" applyFont="1" applyFill="1" applyBorder="1" applyAlignment="1" applyProtection="1">
      <alignment horizontal="left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6" fillId="37" borderId="47" xfId="0" applyFont="1" applyFill="1" applyBorder="1" applyAlignment="1" applyProtection="1">
      <alignment horizontal="left" vertical="center" wrapText="1"/>
      <protection/>
    </xf>
    <xf numFmtId="0" fontId="6" fillId="33" borderId="38" xfId="0" applyFont="1" applyFill="1" applyBorder="1" applyAlignment="1" applyProtection="1">
      <alignment horizontal="left" vertical="center" wrapText="1"/>
      <protection/>
    </xf>
    <xf numFmtId="0" fontId="6" fillId="37" borderId="47" xfId="0" applyFont="1" applyFill="1" applyBorder="1" applyAlignment="1" applyProtection="1">
      <alignment horizontal="left"/>
      <protection/>
    </xf>
    <xf numFmtId="0" fontId="6" fillId="33" borderId="75" xfId="0" applyFont="1" applyFill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14" fillId="38" borderId="46" xfId="0" applyFont="1" applyFill="1" applyBorder="1" applyAlignment="1" applyProtection="1">
      <alignment horizontal="center" vertical="center" textRotation="255"/>
      <protection/>
    </xf>
    <xf numFmtId="0" fontId="14" fillId="38" borderId="68" xfId="0" applyFont="1" applyFill="1" applyBorder="1" applyAlignment="1" applyProtection="1">
      <alignment horizontal="center" vertical="center" textRotation="255"/>
      <protection/>
    </xf>
    <xf numFmtId="0" fontId="14" fillId="38" borderId="37" xfId="0" applyFont="1" applyFill="1" applyBorder="1" applyAlignment="1" applyProtection="1">
      <alignment horizontal="center" vertical="center" textRotation="255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35" borderId="47" xfId="0" applyFont="1" applyFill="1" applyBorder="1" applyAlignment="1" applyProtection="1">
      <alignment horizontal="left"/>
      <protection/>
    </xf>
    <xf numFmtId="0" fontId="6" fillId="35" borderId="75" xfId="0" applyFont="1" applyFill="1" applyBorder="1" applyAlignment="1" applyProtection="1">
      <alignment horizontal="left"/>
      <protection/>
    </xf>
    <xf numFmtId="0" fontId="6" fillId="37" borderId="38" xfId="0" applyFont="1" applyFill="1" applyBorder="1" applyAlignment="1" applyProtection="1">
      <alignment horizontal="left"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7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79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80" xfId="0" applyFont="1" applyBorder="1" applyAlignment="1" applyProtection="1">
      <alignment horizontal="left"/>
      <protection/>
    </xf>
    <xf numFmtId="0" fontId="6" fillId="34" borderId="47" xfId="0" applyFont="1" applyFill="1" applyBorder="1" applyAlignment="1" applyProtection="1">
      <alignment horizontal="left" vertical="center" wrapText="1"/>
      <protection/>
    </xf>
    <xf numFmtId="0" fontId="6" fillId="34" borderId="7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CUMPLIMIENTO VUELOS - EMPRESAS NACIONALES JUL.  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'[2]JUL 09'!$E$4:$J$4</c:f>
              <c:strCache>
                <c:ptCount val="6"/>
                <c:pt idx="0">
                  <c:v>ADA</c:v>
                </c:pt>
                <c:pt idx="1">
                  <c:v>AEROREPUBLICA</c:v>
                </c:pt>
                <c:pt idx="2">
                  <c:v>AIRES</c:v>
                </c:pt>
                <c:pt idx="3">
                  <c:v>AVIANCA</c:v>
                </c:pt>
                <c:pt idx="4">
                  <c:v>EASYFLY</c:v>
                </c:pt>
                <c:pt idx="5">
                  <c:v>SAM</c:v>
                </c:pt>
              </c:strCache>
            </c:strRef>
          </c:cat>
          <c:val>
            <c:numRef>
              <c:f>'[2]JUL 09'!$E$28:$J$28</c:f>
              <c:numCache>
                <c:ptCount val="6"/>
                <c:pt idx="0">
                  <c:v>0.7609384908053266</c:v>
                </c:pt>
                <c:pt idx="1">
                  <c:v>0.9526970954356846</c:v>
                </c:pt>
                <c:pt idx="2">
                  <c:v>0.8588158750813273</c:v>
                </c:pt>
                <c:pt idx="3">
                  <c:v>0.9542772861356932</c:v>
                </c:pt>
                <c:pt idx="4">
                  <c:v>0.9324861000794281</c:v>
                </c:pt>
                <c:pt idx="5">
                  <c:v>0.9296322489391796</c:v>
                </c:pt>
              </c:numCache>
            </c:numRef>
          </c:val>
        </c:ser>
        <c:gapWidth val="90"/>
        <c:axId val="30706246"/>
        <c:axId val="7920759"/>
      </c:bar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7920759"/>
        <c:crosses val="autoZero"/>
        <c:auto val="1"/>
        <c:lblOffset val="100"/>
        <c:tickLblSkip val="1"/>
        <c:noMultiLvlLbl val="0"/>
      </c:catAx>
      <c:valAx>
        <c:axId val="79207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70624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FDFF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VUELOS - EMPRESAS INTERNACIONALES (JULIO 2009)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'[1]JUL 09'!$E$4:$AB$4</c:f>
              <c:strCache>
                <c:ptCount val="24"/>
                <c:pt idx="0">
                  <c:v>A.ARGENTINAS</c:v>
                </c:pt>
                <c:pt idx="1">
                  <c:v>A. GALAPAGOS</c:v>
                </c:pt>
                <c:pt idx="2">
                  <c:v>AEROREPUBLICA</c:v>
                </c:pt>
                <c:pt idx="3">
                  <c:v>AI R E S</c:v>
                </c:pt>
                <c:pt idx="4">
                  <c:v>AIR  CANADA</c:v>
                </c:pt>
                <c:pt idx="5">
                  <c:v>AIR  FRANCE</c:v>
                </c:pt>
                <c:pt idx="6">
                  <c:v>AIR COMET</c:v>
                </c:pt>
                <c:pt idx="7">
                  <c:v>AMERICAN</c:v>
                </c:pt>
                <c:pt idx="8">
                  <c:v>AVIANCA</c:v>
                </c:pt>
                <c:pt idx="9">
                  <c:v>CONTINENTAL</c:v>
                </c:pt>
                <c:pt idx="10">
                  <c:v>COPA</c:v>
                </c:pt>
                <c:pt idx="11">
                  <c:v>CUBANA</c:v>
                </c:pt>
                <c:pt idx="12">
                  <c:v>DELTA</c:v>
                </c:pt>
                <c:pt idx="13">
                  <c:v>DUTCH</c:v>
                </c:pt>
                <c:pt idx="14">
                  <c:v>IBERIA</c:v>
                </c:pt>
                <c:pt idx="15">
                  <c:v>LACSA</c:v>
                </c:pt>
                <c:pt idx="16">
                  <c:v>LAN  PERU</c:v>
                </c:pt>
                <c:pt idx="17">
                  <c:v>LAN CHILE</c:v>
                </c:pt>
                <c:pt idx="18">
                  <c:v>MEXICANA </c:v>
                </c:pt>
                <c:pt idx="19">
                  <c:v>SAM</c:v>
                </c:pt>
                <c:pt idx="20">
                  <c:v>SPIRIT</c:v>
                </c:pt>
                <c:pt idx="21">
                  <c:v>TACA  PERU</c:v>
                </c:pt>
                <c:pt idx="22">
                  <c:v>TAME</c:v>
                </c:pt>
                <c:pt idx="23">
                  <c:v>VARIG</c:v>
                </c:pt>
              </c:strCache>
            </c:strRef>
          </c:cat>
          <c:val>
            <c:numRef>
              <c:f>'[1]JUL 09'!$E$28:$AB$28</c:f>
              <c:numCache>
                <c:ptCount val="24"/>
                <c:pt idx="0">
                  <c:v>0.7142857142857143</c:v>
                </c:pt>
                <c:pt idx="1">
                  <c:v>0.967741935483871</c:v>
                </c:pt>
                <c:pt idx="2">
                  <c:v>0.9572192513368984</c:v>
                </c:pt>
                <c:pt idx="3">
                  <c:v>0.7906976744186046</c:v>
                </c:pt>
                <c:pt idx="4">
                  <c:v>0.3076923076923077</c:v>
                </c:pt>
                <c:pt idx="5">
                  <c:v>1</c:v>
                </c:pt>
                <c:pt idx="6">
                  <c:v>0.8461538461538461</c:v>
                </c:pt>
                <c:pt idx="7">
                  <c:v>0.7419354838709677</c:v>
                </c:pt>
                <c:pt idx="8">
                  <c:v>0.9447322970639033</c:v>
                </c:pt>
                <c:pt idx="9">
                  <c:v>0.946236559139785</c:v>
                </c:pt>
                <c:pt idx="10">
                  <c:v>0.9769585253456221</c:v>
                </c:pt>
                <c:pt idx="11">
                  <c:v>1</c:v>
                </c:pt>
                <c:pt idx="12">
                  <c:v>0.8269230769230769</c:v>
                </c:pt>
                <c:pt idx="13">
                  <c:v>0.7777777777777778</c:v>
                </c:pt>
                <c:pt idx="14">
                  <c:v>0.2708333333333333</c:v>
                </c:pt>
                <c:pt idx="15">
                  <c:v>1</c:v>
                </c:pt>
                <c:pt idx="16">
                  <c:v>0.975</c:v>
                </c:pt>
                <c:pt idx="17">
                  <c:v>0</c:v>
                </c:pt>
                <c:pt idx="18">
                  <c:v>0.8571428571428571</c:v>
                </c:pt>
                <c:pt idx="19">
                  <c:v>0.9069767441860465</c:v>
                </c:pt>
                <c:pt idx="20">
                  <c:v>0.8111111111111111</c:v>
                </c:pt>
                <c:pt idx="21">
                  <c:v>1</c:v>
                </c:pt>
                <c:pt idx="22">
                  <c:v>0</c:v>
                </c:pt>
                <c:pt idx="23">
                  <c:v>0.6428571428571429</c:v>
                </c:pt>
              </c:numCache>
            </c:numRef>
          </c:val>
        </c:ser>
        <c:gapWidth val="30"/>
        <c:axId val="4177968"/>
        <c:axId val="37601713"/>
      </c:barChart>
      <c:catAx>
        <c:axId val="417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713"/>
        <c:crosses val="autoZero"/>
        <c:auto val="1"/>
        <c:lblOffset val="100"/>
        <c:tickLblSkip val="12"/>
        <c:noMultiLvlLbl val="0"/>
      </c:catAx>
      <c:valAx>
        <c:axId val="37601713"/>
        <c:scaling>
          <c:orientation val="minMax"/>
          <c:max val="1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96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CUMPLIMIENTO DE SERVICIOS DE VUELOS INTERNACIONALES JULIO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09'!$D$47:$F$47</c:f>
              <c:numCache>
                <c:ptCount val="3"/>
                <c:pt idx="0">
                  <c:v>84.0677966101695</c:v>
                </c:pt>
                <c:pt idx="1">
                  <c:v>15.796610169491526</c:v>
                </c:pt>
                <c:pt idx="2">
                  <c:v>0.13559322033898305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09'!$D$48:$F$48</c:f>
              <c:numCache>
                <c:ptCount val="3"/>
                <c:pt idx="0">
                  <c:v>2480</c:v>
                </c:pt>
                <c:pt idx="1">
                  <c:v>466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33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696075" y="8001000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505325" y="7524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42925" y="7524750"/>
        <a:ext cx="396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INTERNACIONAL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NACIONA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TOTAL 09"/>
    </sheetNames>
    <sheetDataSet>
      <sheetData sheetId="6">
        <row r="4">
          <cell r="E4" t="str">
            <v>A.ARGENTINAS</v>
          </cell>
          <cell r="F4" t="str">
            <v>A. GALAPAGOS</v>
          </cell>
          <cell r="G4" t="str">
            <v>AEROREPUBLICA</v>
          </cell>
          <cell r="H4" t="str">
            <v>AI R E S</v>
          </cell>
          <cell r="I4" t="str">
            <v>AIR  CANADA</v>
          </cell>
          <cell r="J4" t="str">
            <v>AIR  FRANCE</v>
          </cell>
          <cell r="K4" t="str">
            <v>AIR COMET</v>
          </cell>
          <cell r="L4" t="str">
            <v>AMERICAN</v>
          </cell>
          <cell r="M4" t="str">
            <v>AVIANCA</v>
          </cell>
          <cell r="N4" t="str">
            <v>CONTINENTAL</v>
          </cell>
          <cell r="O4" t="str">
            <v>COPA</v>
          </cell>
          <cell r="P4" t="str">
            <v>CUBANA</v>
          </cell>
          <cell r="Q4" t="str">
            <v>DELTA</v>
          </cell>
          <cell r="R4" t="str">
            <v>DUTCH</v>
          </cell>
          <cell r="S4" t="str">
            <v>IBERIA</v>
          </cell>
          <cell r="T4" t="str">
            <v>LACSA</v>
          </cell>
          <cell r="U4" t="str">
            <v>LAN  PERU</v>
          </cell>
          <cell r="V4" t="str">
            <v>LAN CHILE</v>
          </cell>
          <cell r="W4" t="str">
            <v>MEXICANA </v>
          </cell>
          <cell r="X4" t="str">
            <v>SAM</v>
          </cell>
          <cell r="Y4" t="str">
            <v>SPIRIT</v>
          </cell>
          <cell r="Z4" t="str">
            <v>TACA  PERU</v>
          </cell>
          <cell r="AA4" t="str">
            <v>TAME</v>
          </cell>
          <cell r="AB4" t="str">
            <v>VARIG</v>
          </cell>
        </row>
        <row r="28">
          <cell r="E28">
            <v>0.7142857142857143</v>
          </cell>
          <cell r="F28">
            <v>0.967741935483871</v>
          </cell>
          <cell r="G28">
            <v>0.9572192513368984</v>
          </cell>
          <cell r="H28">
            <v>0.7906976744186046</v>
          </cell>
          <cell r="I28">
            <v>0.3076923076923077</v>
          </cell>
          <cell r="J28">
            <v>1</v>
          </cell>
          <cell r="K28">
            <v>0.8461538461538461</v>
          </cell>
          <cell r="L28">
            <v>0.7419354838709677</v>
          </cell>
          <cell r="M28">
            <v>0.9447322970639033</v>
          </cell>
          <cell r="N28">
            <v>0.946236559139785</v>
          </cell>
          <cell r="O28">
            <v>0.9769585253456221</v>
          </cell>
          <cell r="P28">
            <v>1</v>
          </cell>
          <cell r="Q28">
            <v>0.8269230769230769</v>
          </cell>
          <cell r="R28">
            <v>0.7777777777777778</v>
          </cell>
          <cell r="S28">
            <v>0.2708333333333333</v>
          </cell>
          <cell r="T28">
            <v>1</v>
          </cell>
          <cell r="U28">
            <v>0.975</v>
          </cell>
          <cell r="V28">
            <v>0</v>
          </cell>
          <cell r="W28">
            <v>0.8571428571428571</v>
          </cell>
          <cell r="X28">
            <v>0.9069767441860465</v>
          </cell>
          <cell r="Y28">
            <v>0.8111111111111111</v>
          </cell>
          <cell r="Z28">
            <v>1</v>
          </cell>
          <cell r="AA28">
            <v>0</v>
          </cell>
          <cell r="AB28">
            <v>0.6428571428571429</v>
          </cell>
        </row>
        <row r="46">
          <cell r="D46" t="str">
            <v> Cumplidos</v>
          </cell>
          <cell r="E46" t="str">
            <v> Demorados</v>
          </cell>
          <cell r="F46" t="str">
            <v>Cancelados</v>
          </cell>
        </row>
        <row r="47">
          <cell r="D47">
            <v>84.0677966101695</v>
          </cell>
          <cell r="E47">
            <v>15.796610169491526</v>
          </cell>
          <cell r="F47">
            <v>0.13559322033898305</v>
          </cell>
        </row>
        <row r="48">
          <cell r="D48">
            <v>2480</v>
          </cell>
          <cell r="E48">
            <v>466</v>
          </cell>
          <cell r="F4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ACOMULADO"/>
    </sheetNames>
    <sheetDataSet>
      <sheetData sheetId="6">
        <row r="4">
          <cell r="E4" t="str">
            <v>ADA</v>
          </cell>
          <cell r="F4" t="str">
            <v>AEROREPUBLICA</v>
          </cell>
          <cell r="G4" t="str">
            <v>AIRES</v>
          </cell>
          <cell r="H4" t="str">
            <v>AVIANCA</v>
          </cell>
          <cell r="I4" t="str">
            <v>EASYFLY</v>
          </cell>
          <cell r="J4" t="str">
            <v>SAM</v>
          </cell>
        </row>
        <row r="28">
          <cell r="E28">
            <v>0.7609384908053266</v>
          </cell>
          <cell r="F28">
            <v>0.9526970954356846</v>
          </cell>
          <cell r="G28">
            <v>0.8588158750813273</v>
          </cell>
          <cell r="H28">
            <v>0.9542772861356932</v>
          </cell>
          <cell r="I28">
            <v>0.9324861000794281</v>
          </cell>
          <cell r="J28">
            <v>0.9296322489391796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0" zoomScaleNormal="70" zoomScalePageLayoutView="0" workbookViewId="0" topLeftCell="A1">
      <selection activeCell="M13" sqref="M13"/>
    </sheetView>
  </sheetViews>
  <sheetFormatPr defaultColWidth="11.421875" defaultRowHeight="12.75"/>
  <cols>
    <col min="1" max="1" width="6.57421875" style="4" bestFit="1" customWidth="1"/>
    <col min="2" max="2" width="5.8515625" style="3" bestFit="1" customWidth="1"/>
    <col min="3" max="3" width="40.7109375" style="3" customWidth="1"/>
    <col min="4" max="4" width="20.421875" style="3" customWidth="1"/>
    <col min="5" max="7" width="10.421875" style="3" customWidth="1"/>
    <col min="8" max="8" width="10.421875" style="21" customWidth="1"/>
    <col min="9" max="9" width="10.7109375" style="21" customWidth="1"/>
    <col min="10" max="10" width="10.7109375" style="3" customWidth="1"/>
    <col min="11" max="11" width="11.421875" style="3" customWidth="1"/>
    <col min="12" max="12" width="9.140625" style="3" bestFit="1" customWidth="1"/>
    <col min="13" max="16384" width="11.421875" style="3" customWidth="1"/>
  </cols>
  <sheetData>
    <row r="1" spans="1:10" ht="17.25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7.25">
      <c r="A2" s="156" t="s">
        <v>39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" thickBot="1">
      <c r="A3" s="157" t="s">
        <v>65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1" ht="58.5" thickBot="1" thickTop="1">
      <c r="A4" s="107" t="s">
        <v>4</v>
      </c>
      <c r="B4" s="158" t="s">
        <v>5</v>
      </c>
      <c r="C4" s="159"/>
      <c r="D4" s="160"/>
      <c r="E4" s="50" t="s">
        <v>51</v>
      </c>
      <c r="F4" s="50" t="s">
        <v>40</v>
      </c>
      <c r="G4" s="50" t="s">
        <v>41</v>
      </c>
      <c r="H4" s="50" t="s">
        <v>42</v>
      </c>
      <c r="I4" s="50" t="s">
        <v>43</v>
      </c>
      <c r="J4" s="50" t="s">
        <v>45</v>
      </c>
      <c r="K4" s="49" t="s">
        <v>13</v>
      </c>
    </row>
    <row r="5" spans="1:11" ht="18" thickBot="1" thickTop="1">
      <c r="A5" s="43">
        <v>1</v>
      </c>
      <c r="B5" s="163" t="s">
        <v>14</v>
      </c>
      <c r="C5" s="164"/>
      <c r="D5" s="165"/>
      <c r="E5" s="23">
        <v>1717</v>
      </c>
      <c r="F5" s="24">
        <v>1399</v>
      </c>
      <c r="G5" s="24">
        <v>3211</v>
      </c>
      <c r="H5" s="24">
        <v>8394</v>
      </c>
      <c r="I5" s="24">
        <v>1330</v>
      </c>
      <c r="J5" s="25">
        <v>1359</v>
      </c>
      <c r="K5" s="48">
        <f aca="true" t="shared" si="0" ref="K5:K26">SUM(E5:J5)</f>
        <v>17410</v>
      </c>
    </row>
    <row r="6" spans="1:11" ht="18" thickTop="1">
      <c r="A6" s="39">
        <v>2</v>
      </c>
      <c r="B6" s="166" t="s">
        <v>15</v>
      </c>
      <c r="C6" s="167"/>
      <c r="D6" s="168"/>
      <c r="E6" s="51">
        <v>5</v>
      </c>
      <c r="F6" s="52">
        <v>0</v>
      </c>
      <c r="G6" s="52">
        <v>234</v>
      </c>
      <c r="H6" s="52">
        <v>12</v>
      </c>
      <c r="I6" s="52">
        <v>1259</v>
      </c>
      <c r="J6" s="53"/>
      <c r="K6" s="38">
        <f t="shared" si="0"/>
        <v>1510</v>
      </c>
    </row>
    <row r="7" spans="1:11" ht="18" thickBot="1">
      <c r="A7" s="44">
        <v>3</v>
      </c>
      <c r="B7" s="169" t="s">
        <v>33</v>
      </c>
      <c r="C7" s="170"/>
      <c r="D7" s="171"/>
      <c r="E7" s="30">
        <v>0</v>
      </c>
      <c r="F7" s="31">
        <v>0</v>
      </c>
      <c r="G7" s="31">
        <v>0</v>
      </c>
      <c r="H7" s="31">
        <v>170</v>
      </c>
      <c r="I7" s="31">
        <v>0</v>
      </c>
      <c r="J7" s="32"/>
      <c r="K7" s="37">
        <f t="shared" si="0"/>
        <v>170</v>
      </c>
    </row>
    <row r="8" spans="1:11" ht="18" thickTop="1">
      <c r="A8" s="42">
        <v>4</v>
      </c>
      <c r="B8" s="172" t="s">
        <v>0</v>
      </c>
      <c r="C8" s="175" t="s">
        <v>34</v>
      </c>
      <c r="D8" s="176"/>
      <c r="E8" s="33">
        <v>24</v>
      </c>
      <c r="F8" s="34">
        <v>36</v>
      </c>
      <c r="G8" s="34">
        <v>982</v>
      </c>
      <c r="H8" s="34">
        <v>46</v>
      </c>
      <c r="I8" s="34">
        <v>15</v>
      </c>
      <c r="J8" s="122"/>
      <c r="K8" s="120">
        <f t="shared" si="0"/>
        <v>1103</v>
      </c>
    </row>
    <row r="9" spans="1:11" ht="17.25">
      <c r="A9" s="39">
        <v>5</v>
      </c>
      <c r="B9" s="173"/>
      <c r="C9" s="177" t="s">
        <v>29</v>
      </c>
      <c r="D9" s="178"/>
      <c r="E9" s="28">
        <v>28</v>
      </c>
      <c r="F9" s="15">
        <v>7</v>
      </c>
      <c r="G9" s="15">
        <v>24</v>
      </c>
      <c r="H9" s="15">
        <v>460</v>
      </c>
      <c r="I9" s="15">
        <v>132</v>
      </c>
      <c r="J9" s="123"/>
      <c r="K9" s="121">
        <f t="shared" si="0"/>
        <v>651</v>
      </c>
    </row>
    <row r="10" spans="1:11" ht="17.25">
      <c r="A10" s="39">
        <v>6</v>
      </c>
      <c r="B10" s="173"/>
      <c r="C10" s="177" t="s">
        <v>30</v>
      </c>
      <c r="D10" s="178"/>
      <c r="E10" s="28">
        <v>19</v>
      </c>
      <c r="F10" s="15">
        <v>2</v>
      </c>
      <c r="G10" s="15">
        <v>6</v>
      </c>
      <c r="H10" s="15">
        <v>57</v>
      </c>
      <c r="I10" s="15">
        <v>13</v>
      </c>
      <c r="J10" s="123"/>
      <c r="K10" s="121">
        <f t="shared" si="0"/>
        <v>97</v>
      </c>
    </row>
    <row r="11" spans="1:11" ht="17.25">
      <c r="A11" s="39">
        <v>7</v>
      </c>
      <c r="B11" s="173"/>
      <c r="C11" s="177" t="s">
        <v>31</v>
      </c>
      <c r="D11" s="178"/>
      <c r="E11" s="28">
        <v>5</v>
      </c>
      <c r="F11" s="15">
        <v>6</v>
      </c>
      <c r="G11" s="15">
        <v>1</v>
      </c>
      <c r="H11" s="15">
        <v>22</v>
      </c>
      <c r="I11" s="15"/>
      <c r="J11" s="123"/>
      <c r="K11" s="121">
        <f t="shared" si="0"/>
        <v>34</v>
      </c>
    </row>
    <row r="12" spans="1:11" ht="18" thickBot="1">
      <c r="A12" s="39">
        <v>8</v>
      </c>
      <c r="B12" s="173"/>
      <c r="C12" s="184" t="s">
        <v>44</v>
      </c>
      <c r="D12" s="185"/>
      <c r="E12" s="30">
        <f aca="true" t="shared" si="1" ref="E12:J12">IF((E8+E9+E10+E11)&gt;E35,0,(+E35-E8-E9-E10-E11))</f>
        <v>389</v>
      </c>
      <c r="F12" s="31">
        <f t="shared" si="1"/>
        <v>71</v>
      </c>
      <c r="G12" s="31">
        <f t="shared" si="1"/>
        <v>0</v>
      </c>
      <c r="H12" s="31">
        <f>IF((H8+H9+H10+H11)&gt;H35,0,(+H35-H8-H9-H10-H11))</f>
        <v>0</v>
      </c>
      <c r="I12" s="31">
        <f t="shared" si="1"/>
        <v>28</v>
      </c>
      <c r="J12" s="125">
        <f t="shared" si="1"/>
        <v>396</v>
      </c>
      <c r="K12" s="134">
        <f t="shared" si="0"/>
        <v>884</v>
      </c>
    </row>
    <row r="13" spans="1:11" ht="18" thickBot="1" thickTop="1">
      <c r="A13" s="39">
        <v>9</v>
      </c>
      <c r="B13" s="173"/>
      <c r="C13" s="179" t="s">
        <v>49</v>
      </c>
      <c r="D13" s="180"/>
      <c r="E13" s="126">
        <f aca="true" t="shared" si="2" ref="E13:J13">E8+E9</f>
        <v>52</v>
      </c>
      <c r="F13" s="127">
        <f t="shared" si="2"/>
        <v>43</v>
      </c>
      <c r="G13" s="127">
        <f t="shared" si="2"/>
        <v>1006</v>
      </c>
      <c r="H13" s="127">
        <f>H8+H9</f>
        <v>506</v>
      </c>
      <c r="I13" s="127">
        <f t="shared" si="2"/>
        <v>147</v>
      </c>
      <c r="J13" s="128">
        <f t="shared" si="2"/>
        <v>0</v>
      </c>
      <c r="K13" s="48">
        <f t="shared" si="0"/>
        <v>1754</v>
      </c>
    </row>
    <row r="14" spans="1:11" ht="18" thickBot="1" thickTop="1">
      <c r="A14" s="39">
        <v>10</v>
      </c>
      <c r="B14" s="173"/>
      <c r="C14" s="179" t="s">
        <v>50</v>
      </c>
      <c r="D14" s="186"/>
      <c r="E14" s="54">
        <f aca="true" t="shared" si="3" ref="E14:J14">E10+E11</f>
        <v>24</v>
      </c>
      <c r="F14" s="132">
        <f t="shared" si="3"/>
        <v>8</v>
      </c>
      <c r="G14" s="132">
        <f t="shared" si="3"/>
        <v>7</v>
      </c>
      <c r="H14" s="132">
        <f>H10+H11</f>
        <v>79</v>
      </c>
      <c r="I14" s="132">
        <f t="shared" si="3"/>
        <v>13</v>
      </c>
      <c r="J14" s="133">
        <f t="shared" si="3"/>
        <v>0</v>
      </c>
      <c r="K14" s="135">
        <f t="shared" si="0"/>
        <v>131</v>
      </c>
    </row>
    <row r="15" spans="1:11" ht="18" thickBot="1" thickTop="1">
      <c r="A15" s="41">
        <v>11</v>
      </c>
      <c r="B15" s="174"/>
      <c r="C15" s="182" t="s">
        <v>23</v>
      </c>
      <c r="D15" s="183"/>
      <c r="E15" s="129">
        <f aca="true" t="shared" si="4" ref="E15:J15">IF((E8+E9+E10+E11)&gt;E35,(E8+E9+E10+E11),E35)</f>
        <v>465</v>
      </c>
      <c r="F15" s="130">
        <f t="shared" si="4"/>
        <v>122</v>
      </c>
      <c r="G15" s="130">
        <f t="shared" si="4"/>
        <v>1013</v>
      </c>
      <c r="H15" s="130">
        <f>IF((H8+H9+H10+H11)&gt;H35,(H8+H9+H10+H11),H35)</f>
        <v>585</v>
      </c>
      <c r="I15" s="130">
        <f t="shared" si="4"/>
        <v>188</v>
      </c>
      <c r="J15" s="131">
        <f t="shared" si="4"/>
        <v>396</v>
      </c>
      <c r="K15" s="124">
        <f t="shared" si="0"/>
        <v>2769</v>
      </c>
    </row>
    <row r="16" spans="1:11" ht="18" thickTop="1">
      <c r="A16" s="187">
        <v>12</v>
      </c>
      <c r="B16" s="189" t="s">
        <v>1</v>
      </c>
      <c r="C16" s="191" t="s">
        <v>28</v>
      </c>
      <c r="D16" s="55" t="s">
        <v>16</v>
      </c>
      <c r="E16" s="51">
        <v>0</v>
      </c>
      <c r="F16" s="52">
        <v>0</v>
      </c>
      <c r="G16" s="52">
        <v>0</v>
      </c>
      <c r="H16" s="52">
        <v>0</v>
      </c>
      <c r="I16" s="52">
        <v>0</v>
      </c>
      <c r="J16" s="53">
        <v>0</v>
      </c>
      <c r="K16" s="35">
        <f t="shared" si="0"/>
        <v>0</v>
      </c>
    </row>
    <row r="17" spans="1:11" ht="18" thickBot="1">
      <c r="A17" s="188"/>
      <c r="B17" s="173"/>
      <c r="C17" s="162"/>
      <c r="D17" s="56" t="s">
        <v>17</v>
      </c>
      <c r="E17" s="28">
        <v>0</v>
      </c>
      <c r="F17" s="15">
        <v>0</v>
      </c>
      <c r="G17" s="15">
        <v>0</v>
      </c>
      <c r="H17" s="15">
        <v>0</v>
      </c>
      <c r="I17" s="15">
        <v>0</v>
      </c>
      <c r="J17" s="26">
        <v>0</v>
      </c>
      <c r="K17" s="36">
        <f t="shared" si="0"/>
        <v>0</v>
      </c>
    </row>
    <row r="18" spans="1:11" ht="18" thickTop="1">
      <c r="A18" s="188">
        <v>13</v>
      </c>
      <c r="B18" s="173"/>
      <c r="C18" s="161" t="s">
        <v>35</v>
      </c>
      <c r="D18" s="65" t="s">
        <v>16</v>
      </c>
      <c r="E18" s="28">
        <v>497</v>
      </c>
      <c r="F18" s="15">
        <v>457</v>
      </c>
      <c r="G18" s="15">
        <v>972</v>
      </c>
      <c r="H18" s="15">
        <v>3473</v>
      </c>
      <c r="I18" s="15">
        <v>530</v>
      </c>
      <c r="J18" s="26"/>
      <c r="K18" s="36">
        <f t="shared" si="0"/>
        <v>5929</v>
      </c>
    </row>
    <row r="19" spans="1:11" ht="18" thickBot="1">
      <c r="A19" s="188"/>
      <c r="B19" s="173"/>
      <c r="C19" s="192"/>
      <c r="D19" s="66" t="s">
        <v>17</v>
      </c>
      <c r="E19" s="28">
        <f>464*60+60</f>
        <v>27900</v>
      </c>
      <c r="F19" s="15">
        <f>367*60+4</f>
        <v>22024</v>
      </c>
      <c r="G19" s="15">
        <v>46802</v>
      </c>
      <c r="H19" s="15">
        <v>309845</v>
      </c>
      <c r="I19" s="15">
        <f>732*60+47</f>
        <v>43967</v>
      </c>
      <c r="J19" s="26"/>
      <c r="K19" s="36">
        <f t="shared" si="0"/>
        <v>450538</v>
      </c>
    </row>
    <row r="20" spans="1:11" ht="18" thickTop="1">
      <c r="A20" s="188">
        <v>14</v>
      </c>
      <c r="B20" s="173"/>
      <c r="C20" s="191" t="s">
        <v>30</v>
      </c>
      <c r="D20" s="55" t="s">
        <v>16</v>
      </c>
      <c r="E20" s="28">
        <v>255</v>
      </c>
      <c r="F20" s="15">
        <v>40</v>
      </c>
      <c r="G20" s="15">
        <v>94</v>
      </c>
      <c r="H20" s="15">
        <v>146</v>
      </c>
      <c r="I20" s="15">
        <v>69</v>
      </c>
      <c r="J20" s="26"/>
      <c r="K20" s="36">
        <f t="shared" si="0"/>
        <v>604</v>
      </c>
    </row>
    <row r="21" spans="1:11" ht="18" thickBot="1">
      <c r="A21" s="188"/>
      <c r="B21" s="173"/>
      <c r="C21" s="162"/>
      <c r="D21" s="56" t="s">
        <v>17</v>
      </c>
      <c r="E21" s="28">
        <f>245*60</f>
        <v>14700</v>
      </c>
      <c r="F21" s="15">
        <f>45*60+53</f>
        <v>2753</v>
      </c>
      <c r="G21" s="15">
        <v>7694</v>
      </c>
      <c r="H21" s="15">
        <v>13586</v>
      </c>
      <c r="I21" s="15">
        <f>70*60+20</f>
        <v>4220</v>
      </c>
      <c r="J21" s="26"/>
      <c r="K21" s="36">
        <f t="shared" si="0"/>
        <v>42953</v>
      </c>
    </row>
    <row r="22" spans="1:11" ht="18" thickTop="1">
      <c r="A22" s="188">
        <v>15</v>
      </c>
      <c r="B22" s="173"/>
      <c r="C22" s="161" t="s">
        <v>31</v>
      </c>
      <c r="D22" s="65" t="s">
        <v>16</v>
      </c>
      <c r="E22" s="28">
        <v>140</v>
      </c>
      <c r="F22" s="15">
        <v>46</v>
      </c>
      <c r="G22" s="15">
        <v>6</v>
      </c>
      <c r="H22" s="15">
        <v>184</v>
      </c>
      <c r="I22" s="15">
        <v>6</v>
      </c>
      <c r="J22" s="26"/>
      <c r="K22" s="36">
        <f t="shared" si="0"/>
        <v>382</v>
      </c>
    </row>
    <row r="23" spans="1:11" ht="18" thickBot="1">
      <c r="A23" s="188"/>
      <c r="B23" s="173"/>
      <c r="C23" s="162"/>
      <c r="D23" s="56" t="s">
        <v>17</v>
      </c>
      <c r="E23" s="30">
        <f>124*60+80</f>
        <v>7520</v>
      </c>
      <c r="F23" s="31">
        <f>71*60+44</f>
        <v>4304</v>
      </c>
      <c r="G23" s="31">
        <v>1440</v>
      </c>
      <c r="H23" s="31">
        <v>8787</v>
      </c>
      <c r="I23" s="31">
        <f>2*60+23</f>
        <v>143</v>
      </c>
      <c r="J23" s="32"/>
      <c r="K23" s="37">
        <f t="shared" si="0"/>
        <v>22194</v>
      </c>
    </row>
    <row r="24" spans="1:11" ht="18" thickBot="1" thickTop="1">
      <c r="A24" s="40">
        <v>16</v>
      </c>
      <c r="B24" s="173"/>
      <c r="C24" s="193" t="s">
        <v>44</v>
      </c>
      <c r="D24" s="194"/>
      <c r="E24" s="54">
        <f aca="true" t="shared" si="5" ref="E24:J24">IF((E16+E18+E20+E22)&gt;E36,0,(+E36-E16-E18-E20-E22))</f>
        <v>0</v>
      </c>
      <c r="F24" s="132">
        <f t="shared" si="5"/>
        <v>31</v>
      </c>
      <c r="G24" s="132">
        <f t="shared" si="5"/>
        <v>132</v>
      </c>
      <c r="H24" s="132">
        <f t="shared" si="5"/>
        <v>298</v>
      </c>
      <c r="I24" s="132">
        <f t="shared" si="5"/>
        <v>0</v>
      </c>
      <c r="J24" s="133">
        <f t="shared" si="5"/>
        <v>534</v>
      </c>
      <c r="K24" s="137">
        <f>SUM(E24:J24)</f>
        <v>995</v>
      </c>
    </row>
    <row r="25" spans="1:11" ht="18" thickBot="1" thickTop="1">
      <c r="A25" s="188">
        <v>17</v>
      </c>
      <c r="B25" s="173"/>
      <c r="C25" s="205" t="s">
        <v>22</v>
      </c>
      <c r="D25" s="136" t="s">
        <v>36</v>
      </c>
      <c r="E25" s="46">
        <f aca="true" t="shared" si="6" ref="E25:J25">IF((E16+E18+E20+E22)&gt;E36,(E16+E18+E20+E22),E36)</f>
        <v>892</v>
      </c>
      <c r="F25" s="47">
        <f t="shared" si="6"/>
        <v>574</v>
      </c>
      <c r="G25" s="47">
        <f t="shared" si="6"/>
        <v>1204</v>
      </c>
      <c r="H25" s="47">
        <f t="shared" si="6"/>
        <v>4101</v>
      </c>
      <c r="I25" s="47">
        <f t="shared" si="6"/>
        <v>605</v>
      </c>
      <c r="J25" s="119">
        <f t="shared" si="6"/>
        <v>534</v>
      </c>
      <c r="K25" s="137">
        <f t="shared" si="0"/>
        <v>7910</v>
      </c>
    </row>
    <row r="26" spans="1:11" ht="18" thickBot="1" thickTop="1">
      <c r="A26" s="204"/>
      <c r="B26" s="190"/>
      <c r="C26" s="206"/>
      <c r="D26" s="56" t="s">
        <v>17</v>
      </c>
      <c r="E26" s="57">
        <f aca="true" t="shared" si="7" ref="E26:J26">E17+E19+E21+E23</f>
        <v>50120</v>
      </c>
      <c r="F26" s="58">
        <f t="shared" si="7"/>
        <v>29081</v>
      </c>
      <c r="G26" s="58">
        <f t="shared" si="7"/>
        <v>55936</v>
      </c>
      <c r="H26" s="58">
        <f t="shared" si="7"/>
        <v>332218</v>
      </c>
      <c r="I26" s="58">
        <f t="shared" si="7"/>
        <v>48330</v>
      </c>
      <c r="J26" s="58">
        <f t="shared" si="7"/>
        <v>0</v>
      </c>
      <c r="K26" s="45">
        <f t="shared" si="0"/>
        <v>515685</v>
      </c>
    </row>
    <row r="27" spans="1:11" ht="18" thickTop="1">
      <c r="A27" s="42">
        <v>18</v>
      </c>
      <c r="B27" s="166" t="s">
        <v>18</v>
      </c>
      <c r="C27" s="167"/>
      <c r="D27" s="207"/>
      <c r="E27" s="59">
        <f>E5+E6+E7</f>
        <v>1722</v>
      </c>
      <c r="F27" s="59">
        <f aca="true" t="shared" si="8" ref="F27:K27">F5+F6+F7</f>
        <v>1399</v>
      </c>
      <c r="G27" s="59">
        <f t="shared" si="8"/>
        <v>3445</v>
      </c>
      <c r="H27" s="59">
        <f>H5+H6+H7</f>
        <v>8576</v>
      </c>
      <c r="I27" s="59">
        <f t="shared" si="8"/>
        <v>2589</v>
      </c>
      <c r="J27" s="59">
        <f t="shared" si="8"/>
        <v>1359</v>
      </c>
      <c r="K27" s="138">
        <f t="shared" si="8"/>
        <v>19090</v>
      </c>
    </row>
    <row r="28" spans="1:11" ht="17.25">
      <c r="A28" s="39">
        <v>19</v>
      </c>
      <c r="B28" s="177" t="s">
        <v>19</v>
      </c>
      <c r="C28" s="181"/>
      <c r="D28" s="178"/>
      <c r="E28" s="29">
        <f>E27-E8</f>
        <v>1698</v>
      </c>
      <c r="F28" s="29">
        <f aca="true" t="shared" si="9" ref="F28:K28">F27-F8</f>
        <v>1363</v>
      </c>
      <c r="G28" s="29">
        <f t="shared" si="9"/>
        <v>2463</v>
      </c>
      <c r="H28" s="29">
        <f>H27-H8</f>
        <v>8530</v>
      </c>
      <c r="I28" s="29">
        <f t="shared" si="9"/>
        <v>2574</v>
      </c>
      <c r="J28" s="29">
        <f t="shared" si="9"/>
        <v>1359</v>
      </c>
      <c r="K28" s="139">
        <f t="shared" si="9"/>
        <v>17987</v>
      </c>
    </row>
    <row r="29" spans="1:11" ht="18" thickBot="1">
      <c r="A29" s="41">
        <v>20</v>
      </c>
      <c r="B29" s="184" t="s">
        <v>20</v>
      </c>
      <c r="C29" s="195"/>
      <c r="D29" s="185"/>
      <c r="E29" s="112">
        <f>+E28-E9-E10-E11-E12-E16-E18-E20-E22-E24</f>
        <v>365</v>
      </c>
      <c r="F29" s="112">
        <f aca="true" t="shared" si="10" ref="F29:K29">+F28-F9-F10-F11-F12-F16-F18-F20-F22-F24</f>
        <v>703</v>
      </c>
      <c r="G29" s="112">
        <f t="shared" si="10"/>
        <v>1228</v>
      </c>
      <c r="H29" s="112">
        <f>+H28-H9-H10-H11-H12-H16-H18-H20-H22-H24</f>
        <v>3890</v>
      </c>
      <c r="I29" s="112">
        <f t="shared" si="10"/>
        <v>1796</v>
      </c>
      <c r="J29" s="112">
        <f t="shared" si="10"/>
        <v>429</v>
      </c>
      <c r="K29" s="140">
        <f t="shared" si="10"/>
        <v>8411</v>
      </c>
    </row>
    <row r="30" spans="1:11" ht="18" thickBot="1" thickTop="1">
      <c r="A30" s="105">
        <v>21</v>
      </c>
      <c r="B30" s="196" t="s">
        <v>52</v>
      </c>
      <c r="C30" s="197"/>
      <c r="D30" s="198"/>
      <c r="E30" s="106">
        <f>IF(E28=0,0,(IF(E29=0,0,((E29-E6-E7)/(E5-E9-E16-E18)))))</f>
        <v>0.30201342281879195</v>
      </c>
      <c r="F30" s="106">
        <f aca="true" t="shared" si="11" ref="F30:K30">IF(F28=0,0,(IF(F29=0,0,((F29-F6-F7)/(F5-F9-F16-F18)))))</f>
        <v>0.7518716577540107</v>
      </c>
      <c r="G30" s="106">
        <f t="shared" si="11"/>
        <v>0.4487584650112867</v>
      </c>
      <c r="H30" s="106">
        <f>IF(H28=0,0,(IF(H29=0,0,((H29-H6-H7)/(H5-H9-H16-H18)))))</f>
        <v>0.8312037659717552</v>
      </c>
      <c r="I30" s="106">
        <f t="shared" si="11"/>
        <v>0.8038922155688623</v>
      </c>
      <c r="J30" s="106">
        <f t="shared" si="11"/>
        <v>0.31567328918322296</v>
      </c>
      <c r="K30" s="141">
        <f t="shared" si="11"/>
        <v>0.6215143120960296</v>
      </c>
    </row>
    <row r="31" spans="1:11" ht="18" thickBot="1" thickTop="1">
      <c r="A31" s="64">
        <v>22</v>
      </c>
      <c r="B31" s="199" t="s">
        <v>32</v>
      </c>
      <c r="C31" s="200"/>
      <c r="D31" s="201"/>
      <c r="E31" s="60">
        <f aca="true" t="shared" si="12" ref="E31:J31">+(E29-E6-E7)/E5</f>
        <v>0.20966802562609202</v>
      </c>
      <c r="F31" s="60">
        <f t="shared" si="12"/>
        <v>0.5025017869907077</v>
      </c>
      <c r="G31" s="60">
        <f t="shared" si="12"/>
        <v>0.3095608844596699</v>
      </c>
      <c r="H31" s="60">
        <f>+(H29-H6-H7)/H5</f>
        <v>0.44174410293066474</v>
      </c>
      <c r="I31" s="60">
        <f t="shared" si="12"/>
        <v>0.4037593984962406</v>
      </c>
      <c r="J31" s="60">
        <f t="shared" si="12"/>
        <v>0.31567328918322296</v>
      </c>
      <c r="K31" s="142">
        <f>+(K29-K6-K7)/K5</f>
        <v>0.38661688684663986</v>
      </c>
    </row>
    <row r="32" spans="1:11" ht="18" thickBot="1" thickTop="1">
      <c r="A32" s="63">
        <v>23</v>
      </c>
      <c r="B32" s="202" t="s">
        <v>21</v>
      </c>
      <c r="C32" s="203"/>
      <c r="D32" s="62" t="s">
        <v>17</v>
      </c>
      <c r="E32" s="150">
        <f aca="true" t="shared" si="13" ref="E32:K32">+E26/E25</f>
        <v>56.18834080717489</v>
      </c>
      <c r="F32" s="149">
        <f t="shared" si="13"/>
        <v>50.663763066202094</v>
      </c>
      <c r="G32" s="149">
        <f t="shared" si="13"/>
        <v>46.458471760797345</v>
      </c>
      <c r="H32" s="149">
        <f t="shared" si="13"/>
        <v>81.00902218970982</v>
      </c>
      <c r="I32" s="149">
        <f t="shared" si="13"/>
        <v>79.88429752066116</v>
      </c>
      <c r="J32" s="149">
        <f t="shared" si="13"/>
        <v>0</v>
      </c>
      <c r="K32" s="61">
        <f t="shared" si="13"/>
        <v>65.19405815423515</v>
      </c>
    </row>
    <row r="33" spans="1:4" ht="18" thickTop="1">
      <c r="A33" s="157" t="s">
        <v>57</v>
      </c>
      <c r="B33" s="157"/>
      <c r="C33" s="157"/>
      <c r="D33" s="157"/>
    </row>
    <row r="34" spans="7:10" ht="18" thickBot="1">
      <c r="G34" s="5"/>
      <c r="H34" s="22"/>
      <c r="I34" s="22"/>
      <c r="J34" s="5"/>
    </row>
    <row r="35" spans="3:11" ht="18" thickBot="1" thickTop="1">
      <c r="C35" s="6" t="s">
        <v>60</v>
      </c>
      <c r="E35" s="46">
        <v>465</v>
      </c>
      <c r="F35" s="47">
        <v>122</v>
      </c>
      <c r="G35" s="47">
        <v>953</v>
      </c>
      <c r="H35" s="47">
        <v>578</v>
      </c>
      <c r="I35" s="47">
        <v>188</v>
      </c>
      <c r="J35" s="119">
        <v>396</v>
      </c>
      <c r="K35" s="6"/>
    </row>
    <row r="36" spans="3:11" ht="18" thickBot="1" thickTop="1">
      <c r="C36" s="6" t="s">
        <v>61</v>
      </c>
      <c r="E36" s="23">
        <v>879</v>
      </c>
      <c r="F36" s="24">
        <v>574</v>
      </c>
      <c r="G36" s="24">
        <v>1204</v>
      </c>
      <c r="H36" s="24">
        <v>4101</v>
      </c>
      <c r="I36" s="24">
        <v>568</v>
      </c>
      <c r="J36" s="25">
        <v>534</v>
      </c>
      <c r="K36" s="6"/>
    </row>
    <row r="37" ht="18" thickTop="1"/>
  </sheetData>
  <sheetProtection/>
  <mergeCells count="35">
    <mergeCell ref="A25:A26"/>
    <mergeCell ref="C25:C26"/>
    <mergeCell ref="B31:D31"/>
    <mergeCell ref="B32:C32"/>
    <mergeCell ref="A33:D33"/>
    <mergeCell ref="B28:D28"/>
    <mergeCell ref="B29:D29"/>
    <mergeCell ref="B30:D30"/>
    <mergeCell ref="B16:B26"/>
    <mergeCell ref="C22:C23"/>
    <mergeCell ref="A16:A17"/>
    <mergeCell ref="C16:C17"/>
    <mergeCell ref="A18:A19"/>
    <mergeCell ref="C18:C19"/>
    <mergeCell ref="A20:A21"/>
    <mergeCell ref="C20:C21"/>
    <mergeCell ref="A22:A23"/>
    <mergeCell ref="C24:D24"/>
    <mergeCell ref="C9:D9"/>
    <mergeCell ref="C10:D10"/>
    <mergeCell ref="C11:D11"/>
    <mergeCell ref="C13:D13"/>
    <mergeCell ref="B27:D27"/>
    <mergeCell ref="C15:D15"/>
    <mergeCell ref="C12:D12"/>
    <mergeCell ref="C14:D14"/>
    <mergeCell ref="A1:J1"/>
    <mergeCell ref="A2:J2"/>
    <mergeCell ref="A3:J3"/>
    <mergeCell ref="B4:D4"/>
    <mergeCell ref="B5:D5"/>
    <mergeCell ref="B6:D6"/>
    <mergeCell ref="B7:D7"/>
    <mergeCell ref="B8:B15"/>
    <mergeCell ref="C8:D8"/>
  </mergeCells>
  <printOptions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"/>
  <sheetViews>
    <sheetView zoomScale="90" zoomScaleNormal="90" zoomScalePageLayoutView="0" workbookViewId="0" topLeftCell="A22">
      <selection activeCell="D40" sqref="D40"/>
    </sheetView>
  </sheetViews>
  <sheetFormatPr defaultColWidth="11.421875" defaultRowHeight="12.75"/>
  <cols>
    <col min="1" max="1" width="5.28125" style="1" bestFit="1" customWidth="1"/>
    <col min="2" max="2" width="3.7109375" style="0" bestFit="1" customWidth="1"/>
    <col min="3" max="3" width="44.28125" style="0" bestFit="1" customWidth="1"/>
    <col min="4" max="4" width="14.28125" style="0" bestFit="1" customWidth="1"/>
    <col min="5" max="5" width="5.28125" style="2" customWidth="1"/>
    <col min="6" max="6" width="4.421875" style="2" bestFit="1" customWidth="1"/>
    <col min="7" max="7" width="6.140625" style="14" bestFit="1" customWidth="1"/>
    <col min="8" max="8" width="5.28125" style="2" bestFit="1" customWidth="1"/>
    <col min="9" max="9" width="5.28125" style="13" bestFit="1" customWidth="1"/>
    <col min="10" max="10" width="6.140625" style="2" bestFit="1" customWidth="1"/>
    <col min="11" max="11" width="5.28125" style="2" bestFit="1" customWidth="1"/>
    <col min="12" max="12" width="6.140625" style="2" bestFit="1" customWidth="1"/>
    <col min="13" max="13" width="7.28125" style="13" bestFit="1" customWidth="1"/>
    <col min="14" max="17" width="5.28125" style="2" bestFit="1" customWidth="1"/>
    <col min="18" max="18" width="7.28125" style="2" customWidth="1"/>
    <col min="19" max="23" width="5.28125" style="2" bestFit="1" customWidth="1"/>
    <col min="24" max="26" width="5.57421875" style="2" bestFit="1" customWidth="1"/>
    <col min="27" max="27" width="5.28125" style="2" bestFit="1" customWidth="1"/>
    <col min="28" max="28" width="7.28125" style="2" bestFit="1" customWidth="1"/>
    <col min="29" max="29" width="5.28125" style="2" bestFit="1" customWidth="1"/>
    <col min="30" max="31" width="5.28125" style="2" customWidth="1"/>
    <col min="32" max="32" width="5.28125" style="2" bestFit="1" customWidth="1"/>
    <col min="33" max="33" width="7.28125" style="0" customWidth="1"/>
    <col min="34" max="34" width="4.28125" style="0" bestFit="1" customWidth="1"/>
    <col min="35" max="35" width="4.00390625" style="0" bestFit="1" customWidth="1"/>
    <col min="36" max="36" width="5.57421875" style="0" bestFit="1" customWidth="1"/>
    <col min="37" max="37" width="4.00390625" style="0" bestFit="1" customWidth="1"/>
    <col min="38" max="38" width="4.28125" style="0" bestFit="1" customWidth="1"/>
    <col min="39" max="39" width="5.28125" style="0" bestFit="1" customWidth="1"/>
    <col min="40" max="40" width="0.2890625" style="0" customWidth="1"/>
    <col min="41" max="42" width="5.421875" style="0" bestFit="1" customWidth="1"/>
    <col min="43" max="43" width="4.28125" style="0" bestFit="1" customWidth="1"/>
    <col min="44" max="44" width="5.421875" style="0" bestFit="1" customWidth="1"/>
    <col min="45" max="45" width="5.28125" style="0" bestFit="1" customWidth="1"/>
    <col min="46" max="46" width="5.421875" style="0" bestFit="1" customWidth="1"/>
    <col min="47" max="48" width="4.28125" style="0" bestFit="1" customWidth="1"/>
    <col min="49" max="49" width="5.28125" style="0" bestFit="1" customWidth="1"/>
    <col min="50" max="54" width="4.28125" style="0" bestFit="1" customWidth="1"/>
    <col min="55" max="55" width="5.28125" style="0" bestFit="1" customWidth="1"/>
    <col min="56" max="56" width="4.28125" style="0" bestFit="1" customWidth="1"/>
    <col min="57" max="57" width="5.28125" style="0" bestFit="1" customWidth="1"/>
    <col min="58" max="58" width="6.421875" style="0" bestFit="1" customWidth="1"/>
  </cols>
  <sheetData>
    <row r="1" spans="1:33" ht="15">
      <c r="A1" s="143" t="s">
        <v>2</v>
      </c>
      <c r="B1" s="143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ht="12.75">
      <c r="A2" s="144" t="s">
        <v>3</v>
      </c>
      <c r="B2" s="144"/>
      <c r="C2" s="144"/>
      <c r="D2" s="14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4.25" thickBot="1">
      <c r="A3" s="145" t="s">
        <v>65</v>
      </c>
      <c r="B3" s="145"/>
      <c r="C3" s="145"/>
      <c r="D3" s="145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05" thickBot="1" thickTop="1">
      <c r="A4" s="104" t="s">
        <v>4</v>
      </c>
      <c r="B4" s="214" t="s">
        <v>5</v>
      </c>
      <c r="C4" s="215"/>
      <c r="D4" s="216"/>
      <c r="E4" s="67" t="s">
        <v>38</v>
      </c>
      <c r="F4" s="67" t="s">
        <v>46</v>
      </c>
      <c r="G4" s="67" t="s">
        <v>37</v>
      </c>
      <c r="H4" s="67" t="s">
        <v>58</v>
      </c>
      <c r="I4" s="67" t="s">
        <v>26</v>
      </c>
      <c r="J4" s="67" t="s">
        <v>27</v>
      </c>
      <c r="K4" s="67" t="s">
        <v>47</v>
      </c>
      <c r="L4" s="67" t="s">
        <v>6</v>
      </c>
      <c r="M4" s="67" t="s">
        <v>7</v>
      </c>
      <c r="N4" s="67" t="s">
        <v>48</v>
      </c>
      <c r="O4" s="67" t="s">
        <v>62</v>
      </c>
      <c r="P4" s="67" t="s">
        <v>53</v>
      </c>
      <c r="Q4" s="67" t="s">
        <v>8</v>
      </c>
      <c r="R4" s="67" t="s">
        <v>9</v>
      </c>
      <c r="S4" s="67" t="s">
        <v>10</v>
      </c>
      <c r="T4" s="67" t="s">
        <v>64</v>
      </c>
      <c r="U4" s="67" t="s">
        <v>55</v>
      </c>
      <c r="V4" s="67" t="s">
        <v>12</v>
      </c>
      <c r="W4" s="67" t="s">
        <v>54</v>
      </c>
      <c r="X4" s="67" t="s">
        <v>25</v>
      </c>
      <c r="Y4" s="67" t="s">
        <v>59</v>
      </c>
      <c r="Z4" s="67" t="s">
        <v>63</v>
      </c>
      <c r="AA4" s="67" t="s">
        <v>56</v>
      </c>
      <c r="AB4" s="67" t="s">
        <v>24</v>
      </c>
      <c r="AC4" s="67" t="s">
        <v>11</v>
      </c>
      <c r="AD4" s="67" t="s">
        <v>66</v>
      </c>
      <c r="AE4" s="67" t="s">
        <v>67</v>
      </c>
      <c r="AF4" s="67" t="s">
        <v>68</v>
      </c>
      <c r="AG4" s="67" t="s">
        <v>13</v>
      </c>
    </row>
    <row r="5" spans="1:35" ht="15" thickBot="1" thickTop="1">
      <c r="A5" s="68">
        <v>1</v>
      </c>
      <c r="B5" s="219" t="s">
        <v>14</v>
      </c>
      <c r="C5" s="220"/>
      <c r="D5" s="220"/>
      <c r="E5" s="69">
        <v>145</v>
      </c>
      <c r="F5" s="70">
        <v>13</v>
      </c>
      <c r="G5" s="70">
        <v>698</v>
      </c>
      <c r="H5" s="70">
        <v>29</v>
      </c>
      <c r="I5" s="70">
        <v>29</v>
      </c>
      <c r="J5" s="70">
        <v>16</v>
      </c>
      <c r="K5" s="70">
        <v>29</v>
      </c>
      <c r="L5" s="70">
        <v>146</v>
      </c>
      <c r="M5" s="70">
        <v>1008</v>
      </c>
      <c r="N5" s="70">
        <v>87</v>
      </c>
      <c r="O5" s="70">
        <v>54</v>
      </c>
      <c r="P5" s="70">
        <v>71</v>
      </c>
      <c r="Q5" s="70">
        <v>4</v>
      </c>
      <c r="R5" s="70">
        <v>58</v>
      </c>
      <c r="S5" s="70">
        <v>54</v>
      </c>
      <c r="T5" s="70">
        <v>8</v>
      </c>
      <c r="U5" s="70">
        <v>29</v>
      </c>
      <c r="V5" s="70">
        <v>87</v>
      </c>
      <c r="W5" s="70">
        <v>41</v>
      </c>
      <c r="X5" s="70">
        <v>87</v>
      </c>
      <c r="Y5" s="70">
        <v>20</v>
      </c>
      <c r="Z5" s="70">
        <v>26</v>
      </c>
      <c r="AA5" s="70">
        <v>77</v>
      </c>
      <c r="AB5" s="70">
        <v>70</v>
      </c>
      <c r="AC5" s="70">
        <v>13</v>
      </c>
      <c r="AD5" s="70">
        <v>29</v>
      </c>
      <c r="AE5" s="70">
        <v>29</v>
      </c>
      <c r="AF5" s="70">
        <v>12</v>
      </c>
      <c r="AG5" s="71">
        <f>SUM(E5:AF5)</f>
        <v>2969</v>
      </c>
      <c r="AI5" s="7"/>
    </row>
    <row r="6" spans="1:36" ht="15" thickBot="1" thickTop="1">
      <c r="A6" s="72">
        <v>2</v>
      </c>
      <c r="B6" s="209" t="s">
        <v>15</v>
      </c>
      <c r="C6" s="210"/>
      <c r="D6" s="210"/>
      <c r="E6" s="74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6">
        <v>0</v>
      </c>
      <c r="AC6" s="76">
        <v>0</v>
      </c>
      <c r="AD6" s="76">
        <v>0</v>
      </c>
      <c r="AE6" s="76">
        <v>0</v>
      </c>
      <c r="AF6" s="76">
        <v>0</v>
      </c>
      <c r="AG6" s="71">
        <f aca="true" t="shared" si="0" ref="AG6:AG29">SUM(E6:AF6)</f>
        <v>0</v>
      </c>
      <c r="AI6" s="7"/>
      <c r="AJ6" s="7"/>
    </row>
    <row r="7" spans="1:35" ht="15" thickBot="1" thickTop="1">
      <c r="A7" s="77">
        <v>3</v>
      </c>
      <c r="B7" s="209" t="s">
        <v>33</v>
      </c>
      <c r="C7" s="210"/>
      <c r="D7" s="221"/>
      <c r="E7" s="113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1">
        <f t="shared" si="0"/>
        <v>0</v>
      </c>
      <c r="AI7" s="7"/>
    </row>
    <row r="8" spans="1:35" ht="21" customHeight="1" thickBot="1" thickTop="1">
      <c r="A8" s="80">
        <v>4</v>
      </c>
      <c r="B8" s="222" t="s">
        <v>0</v>
      </c>
      <c r="C8" s="209" t="s">
        <v>34</v>
      </c>
      <c r="D8" s="210"/>
      <c r="E8" s="74">
        <v>0</v>
      </c>
      <c r="F8" s="75">
        <v>0</v>
      </c>
      <c r="G8" s="76">
        <v>4</v>
      </c>
      <c r="H8" s="76">
        <v>0</v>
      </c>
      <c r="I8" s="76">
        <v>12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81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3</v>
      </c>
      <c r="AC8" s="75">
        <v>0</v>
      </c>
      <c r="AD8" s="75">
        <v>0</v>
      </c>
      <c r="AE8" s="75">
        <v>0</v>
      </c>
      <c r="AF8" s="75">
        <v>0</v>
      </c>
      <c r="AG8" s="71">
        <f t="shared" si="0"/>
        <v>19</v>
      </c>
      <c r="AI8" s="7"/>
    </row>
    <row r="9" spans="1:35" ht="15" thickBot="1" thickTop="1">
      <c r="A9" s="82">
        <v>5</v>
      </c>
      <c r="B9" s="223"/>
      <c r="C9" s="209" t="s">
        <v>29</v>
      </c>
      <c r="D9" s="210"/>
      <c r="E9" s="83">
        <v>0</v>
      </c>
      <c r="F9" s="84">
        <v>0</v>
      </c>
      <c r="G9" s="84">
        <v>0</v>
      </c>
      <c r="H9" s="84">
        <v>0</v>
      </c>
      <c r="I9" s="85">
        <v>0</v>
      </c>
      <c r="J9" s="85">
        <v>0</v>
      </c>
      <c r="K9" s="85">
        <v>0</v>
      </c>
      <c r="L9" s="85">
        <v>0</v>
      </c>
      <c r="M9" s="85">
        <v>8</v>
      </c>
      <c r="N9" s="85">
        <v>2</v>
      </c>
      <c r="O9" s="85">
        <v>0</v>
      </c>
      <c r="P9" s="86">
        <v>2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71">
        <f t="shared" si="0"/>
        <v>12</v>
      </c>
      <c r="AI9" s="7"/>
    </row>
    <row r="10" spans="1:35" ht="15" thickBot="1" thickTop="1">
      <c r="A10" s="82">
        <v>6</v>
      </c>
      <c r="B10" s="223"/>
      <c r="C10" s="209" t="s">
        <v>30</v>
      </c>
      <c r="D10" s="210"/>
      <c r="E10" s="83">
        <v>0</v>
      </c>
      <c r="F10" s="84">
        <v>0</v>
      </c>
      <c r="G10" s="85">
        <v>1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71">
        <f t="shared" si="0"/>
        <v>1</v>
      </c>
      <c r="AI10" s="7"/>
    </row>
    <row r="11" spans="1:35" ht="15" thickBot="1" thickTop="1">
      <c r="A11" s="82">
        <v>7</v>
      </c>
      <c r="B11" s="223"/>
      <c r="C11" s="209" t="s">
        <v>31</v>
      </c>
      <c r="D11" s="210"/>
      <c r="E11" s="87">
        <v>0</v>
      </c>
      <c r="F11" s="88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31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71">
        <f t="shared" si="0"/>
        <v>31</v>
      </c>
      <c r="AI11" s="7"/>
    </row>
    <row r="12" spans="1:35" ht="15" thickBot="1" thickTop="1">
      <c r="A12" s="82">
        <v>8</v>
      </c>
      <c r="B12" s="223"/>
      <c r="C12" s="209" t="s">
        <v>44</v>
      </c>
      <c r="D12" s="210"/>
      <c r="E12" s="91">
        <f>IF((E8+E9+E10+E11)&gt;E35,0,(+E35-E8-E9-E10-E11))</f>
        <v>14</v>
      </c>
      <c r="F12" s="92">
        <f>IF((F8+F9+F10+F11)&gt;F35,0,(+F35-F8-F9-F10-F11))</f>
        <v>0</v>
      </c>
      <c r="G12" s="92">
        <f aca="true" t="shared" si="1" ref="G12:AB12">IF((G8+G9+G10+G11)&gt;G35,0,(+G35-G8-G9-G10-G11))</f>
        <v>58</v>
      </c>
      <c r="H12" s="92">
        <f t="shared" si="1"/>
        <v>0</v>
      </c>
      <c r="I12" s="92">
        <f t="shared" si="1"/>
        <v>0</v>
      </c>
      <c r="J12" s="92">
        <f t="shared" si="1"/>
        <v>1</v>
      </c>
      <c r="K12" s="92">
        <f t="shared" si="1"/>
        <v>3</v>
      </c>
      <c r="L12" s="92">
        <f t="shared" si="1"/>
        <v>2</v>
      </c>
      <c r="M12" s="92">
        <f t="shared" si="1"/>
        <v>0</v>
      </c>
      <c r="N12" s="92">
        <f t="shared" si="1"/>
        <v>0</v>
      </c>
      <c r="O12" s="92">
        <f>IF((O8+O9+O10+O11)&gt;O35,0,(+O35-O8-O9-O10-O11))</f>
        <v>4</v>
      </c>
      <c r="P12" s="92">
        <f t="shared" si="1"/>
        <v>12</v>
      </c>
      <c r="Q12" s="92">
        <f t="shared" si="1"/>
        <v>0</v>
      </c>
      <c r="R12" s="92">
        <f t="shared" si="1"/>
        <v>0</v>
      </c>
      <c r="S12" s="92">
        <f t="shared" si="1"/>
        <v>15</v>
      </c>
      <c r="T12" s="92">
        <f>IF((T8+T9+T10+T11)&gt;T35,0,(+T35-T8-T9-T10-T11))</f>
        <v>3</v>
      </c>
      <c r="U12" s="92">
        <f>IF((U8+U9+U10+U11)&gt;U35,0,(+U35-U8-U9-U10-U11))</f>
        <v>0</v>
      </c>
      <c r="V12" s="92">
        <f t="shared" si="1"/>
        <v>19</v>
      </c>
      <c r="W12" s="92">
        <v>0</v>
      </c>
      <c r="X12" s="92">
        <f t="shared" si="1"/>
        <v>17</v>
      </c>
      <c r="Y12" s="92">
        <f>IF((Y8+Y9+Y10+Y11)&gt;Y35,0,(+Y35-Y8-Y9-Y10-Y11))</f>
        <v>7</v>
      </c>
      <c r="Z12" s="92">
        <f>IF((Z8+Z9+Z10+Z11)&gt;Z35,0,(+Z35-Z8-Z9-Z10-Z11))</f>
        <v>1</v>
      </c>
      <c r="AA12" s="92">
        <f>IF((AA8+AA9+AA10+AA11)&gt;AA35,0,(+AA35-AA8-AA9-AA10-AA11))</f>
        <v>0</v>
      </c>
      <c r="AB12" s="92">
        <f t="shared" si="1"/>
        <v>6</v>
      </c>
      <c r="AC12" s="92">
        <f>IF((AC8+AC9+AC10+AC11)&gt;AC35,0,(+AC35-AC8-AC9-AC10-AC11))</f>
        <v>0</v>
      </c>
      <c r="AD12" s="92">
        <f>IF((AD8+AD9+AD10+AD11)&gt;AD35,0,(+AD35-AD8-AD9-AD10-AD11))</f>
        <v>1</v>
      </c>
      <c r="AE12" s="92">
        <f>IF((AE8+AE9+AE10+AE11)&gt;AE35,0,(+AE35-AE8-AE9-AE10-AE11))</f>
        <v>0</v>
      </c>
      <c r="AF12" s="92">
        <f>IF((AF8+AF9+AF10+AF11)&gt;AF35,0,(+AF35-AF8-AF9-AF10-AF11))</f>
        <v>0</v>
      </c>
      <c r="AG12" s="71">
        <f t="shared" si="0"/>
        <v>163</v>
      </c>
      <c r="AI12" s="7"/>
    </row>
    <row r="13" spans="1:35" ht="15" thickBot="1" thickTop="1">
      <c r="A13" s="82">
        <v>9</v>
      </c>
      <c r="B13" s="223"/>
      <c r="C13" s="209" t="s">
        <v>49</v>
      </c>
      <c r="D13" s="210"/>
      <c r="E13" s="93">
        <f aca="true" t="shared" si="2" ref="E13:AC13">E8+E9</f>
        <v>0</v>
      </c>
      <c r="F13" s="94">
        <f t="shared" si="2"/>
        <v>0</v>
      </c>
      <c r="G13" s="94">
        <f t="shared" si="2"/>
        <v>4</v>
      </c>
      <c r="H13" s="94">
        <f t="shared" si="2"/>
        <v>0</v>
      </c>
      <c r="I13" s="94">
        <f t="shared" si="2"/>
        <v>12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 t="shared" si="2"/>
        <v>8</v>
      </c>
      <c r="N13" s="94">
        <f t="shared" si="2"/>
        <v>2</v>
      </c>
      <c r="O13" s="94">
        <f t="shared" si="2"/>
        <v>0</v>
      </c>
      <c r="P13" s="94">
        <f t="shared" si="2"/>
        <v>2</v>
      </c>
      <c r="Q13" s="94">
        <f t="shared" si="2"/>
        <v>0</v>
      </c>
      <c r="R13" s="94">
        <f t="shared" si="2"/>
        <v>0</v>
      </c>
      <c r="S13" s="94">
        <f t="shared" si="2"/>
        <v>0</v>
      </c>
      <c r="T13" s="94">
        <f t="shared" si="2"/>
        <v>0</v>
      </c>
      <c r="U13" s="94">
        <f t="shared" si="2"/>
        <v>0</v>
      </c>
      <c r="V13" s="94">
        <f t="shared" si="2"/>
        <v>0</v>
      </c>
      <c r="W13" s="94">
        <f t="shared" si="2"/>
        <v>0</v>
      </c>
      <c r="X13" s="94">
        <f t="shared" si="2"/>
        <v>0</v>
      </c>
      <c r="Y13" s="94">
        <f t="shared" si="2"/>
        <v>0</v>
      </c>
      <c r="Z13" s="94">
        <f t="shared" si="2"/>
        <v>0</v>
      </c>
      <c r="AA13" s="94">
        <f t="shared" si="2"/>
        <v>0</v>
      </c>
      <c r="AB13" s="94">
        <f t="shared" si="2"/>
        <v>3</v>
      </c>
      <c r="AC13" s="94">
        <f t="shared" si="2"/>
        <v>0</v>
      </c>
      <c r="AD13" s="94">
        <f>AD8+AD9</f>
        <v>0</v>
      </c>
      <c r="AE13" s="94">
        <f>AE8+AE9</f>
        <v>0</v>
      </c>
      <c r="AF13" s="94">
        <f>AF8+AF9</f>
        <v>0</v>
      </c>
      <c r="AG13" s="71">
        <f t="shared" si="0"/>
        <v>31</v>
      </c>
      <c r="AI13" s="7"/>
    </row>
    <row r="14" spans="1:35" ht="15" thickBot="1" thickTop="1">
      <c r="A14" s="82">
        <v>10</v>
      </c>
      <c r="B14" s="223"/>
      <c r="C14" s="209" t="s">
        <v>50</v>
      </c>
      <c r="D14" s="210"/>
      <c r="E14" s="95">
        <f>E10+E11</f>
        <v>0</v>
      </c>
      <c r="F14" s="96">
        <f aca="true" t="shared" si="3" ref="F14:AB14">F10+F11</f>
        <v>0</v>
      </c>
      <c r="G14" s="96">
        <f t="shared" si="3"/>
        <v>1</v>
      </c>
      <c r="H14" s="96">
        <f>H10+H11</f>
        <v>0</v>
      </c>
      <c r="I14" s="96">
        <f t="shared" si="3"/>
        <v>0</v>
      </c>
      <c r="J14" s="96">
        <f t="shared" si="3"/>
        <v>0</v>
      </c>
      <c r="K14" s="96">
        <f t="shared" si="3"/>
        <v>0</v>
      </c>
      <c r="L14" s="96">
        <f t="shared" si="3"/>
        <v>0</v>
      </c>
      <c r="M14" s="96">
        <f>M10+M11</f>
        <v>0</v>
      </c>
      <c r="N14" s="96">
        <f>N10+N11</f>
        <v>0</v>
      </c>
      <c r="O14" s="96">
        <f>O10+O11</f>
        <v>31</v>
      </c>
      <c r="P14" s="96">
        <f>P10+P11</f>
        <v>0</v>
      </c>
      <c r="Q14" s="96">
        <f t="shared" si="3"/>
        <v>0</v>
      </c>
      <c r="R14" s="96">
        <f t="shared" si="3"/>
        <v>0</v>
      </c>
      <c r="S14" s="96">
        <f t="shared" si="3"/>
        <v>0</v>
      </c>
      <c r="T14" s="96">
        <f>T10+T11</f>
        <v>0</v>
      </c>
      <c r="U14" s="96">
        <f>U10+U11</f>
        <v>0</v>
      </c>
      <c r="V14" s="96">
        <f t="shared" si="3"/>
        <v>0</v>
      </c>
      <c r="W14" s="96">
        <f>W10+W11</f>
        <v>0</v>
      </c>
      <c r="X14" s="96">
        <f t="shared" si="3"/>
        <v>0</v>
      </c>
      <c r="Y14" s="96">
        <f>Y10+Y11</f>
        <v>0</v>
      </c>
      <c r="Z14" s="96">
        <f>Z10+Z11</f>
        <v>0</v>
      </c>
      <c r="AA14" s="96">
        <f>AA10+AA11</f>
        <v>0</v>
      </c>
      <c r="AB14" s="96">
        <f t="shared" si="3"/>
        <v>0</v>
      </c>
      <c r="AC14" s="96">
        <f>AC10+AC11</f>
        <v>0</v>
      </c>
      <c r="AD14" s="96">
        <f>AD10+AD11</f>
        <v>0</v>
      </c>
      <c r="AE14" s="96">
        <f>AE10+AE11</f>
        <v>0</v>
      </c>
      <c r="AF14" s="96">
        <f>AF10+AF11</f>
        <v>0</v>
      </c>
      <c r="AG14" s="71">
        <f t="shared" si="0"/>
        <v>32</v>
      </c>
      <c r="AI14" s="7"/>
    </row>
    <row r="15" spans="1:37" ht="15" thickBot="1" thickTop="1">
      <c r="A15" s="82">
        <v>11</v>
      </c>
      <c r="B15" s="224"/>
      <c r="C15" s="217" t="s">
        <v>23</v>
      </c>
      <c r="D15" s="218"/>
      <c r="E15" s="117">
        <f>IF((E8+E9+E10+E11)&gt;E35,(E8+E9+E10+E11),E35)</f>
        <v>14</v>
      </c>
      <c r="F15" s="118">
        <f>IF((F8+F9+F10+F11)&gt;F35,(F8+F9+F10+F11),F35)</f>
        <v>0</v>
      </c>
      <c r="G15" s="118">
        <f aca="true" t="shared" si="4" ref="G15:AB15">IF((G8+G9+G10+G11)&gt;G35,(G8+G9+G10+G11),G35)</f>
        <v>63</v>
      </c>
      <c r="H15" s="118">
        <f t="shared" si="4"/>
        <v>0</v>
      </c>
      <c r="I15" s="118">
        <f t="shared" si="4"/>
        <v>12</v>
      </c>
      <c r="J15" s="118">
        <f t="shared" si="4"/>
        <v>1</v>
      </c>
      <c r="K15" s="118">
        <f t="shared" si="4"/>
        <v>3</v>
      </c>
      <c r="L15" s="118">
        <f t="shared" si="4"/>
        <v>2</v>
      </c>
      <c r="M15" s="118">
        <f t="shared" si="4"/>
        <v>8</v>
      </c>
      <c r="N15" s="118">
        <f t="shared" si="4"/>
        <v>2</v>
      </c>
      <c r="O15" s="118">
        <f>IF((O8+O9+O10+O11)&gt;O35,(O8+O9+O10+O11),O35)</f>
        <v>35</v>
      </c>
      <c r="P15" s="118">
        <f t="shared" si="4"/>
        <v>14</v>
      </c>
      <c r="Q15" s="118">
        <f t="shared" si="4"/>
        <v>0</v>
      </c>
      <c r="R15" s="118">
        <f t="shared" si="4"/>
        <v>0</v>
      </c>
      <c r="S15" s="118">
        <f t="shared" si="4"/>
        <v>15</v>
      </c>
      <c r="T15" s="118">
        <f>IF((T8+T9+T10+T11)&gt;T35,(T8+T9+T10+T11),T35)</f>
        <v>3</v>
      </c>
      <c r="U15" s="118">
        <f>IF((U8+U9+U10+U11)&gt;U35,(U8+U9+U10+U11),U35)</f>
        <v>0</v>
      </c>
      <c r="V15" s="118">
        <f t="shared" si="4"/>
        <v>19</v>
      </c>
      <c r="W15" s="118">
        <f t="shared" si="4"/>
        <v>0</v>
      </c>
      <c r="X15" s="118">
        <f t="shared" si="4"/>
        <v>17</v>
      </c>
      <c r="Y15" s="118">
        <f>IF((Y8+Y9+Y10+Y11)&gt;Y35,(Y8+Y9+Y10+Y11),Y35)</f>
        <v>7</v>
      </c>
      <c r="Z15" s="118">
        <f>IF((Z8+Z9+Z10+Z11)&gt;Z35,(Z8+Z9+Z10+Z11),Z35)</f>
        <v>1</v>
      </c>
      <c r="AA15" s="118">
        <f t="shared" si="4"/>
        <v>0</v>
      </c>
      <c r="AB15" s="118">
        <f t="shared" si="4"/>
        <v>9</v>
      </c>
      <c r="AC15" s="118">
        <f>IF((AC8+AC9+AC10+AC11)&gt;AC35,(AC8+AC9+AC10+AC11),AC35)</f>
        <v>0</v>
      </c>
      <c r="AD15" s="118">
        <f>IF((AD8+AD9+AD10+AD11)&gt;AD35,(AD8+AD9+AD10+AD11),AD35)</f>
        <v>1</v>
      </c>
      <c r="AE15" s="118">
        <f>IF((AE8+AE9+AE10+AE11)&gt;AE35,(AE8+AE9+AE10+AE11),AE35)</f>
        <v>0</v>
      </c>
      <c r="AF15" s="118">
        <f>IF((AF8+AF9+AF10+AF11)&gt;AF35,(AF8+AF9+AF10+AF11),AF35)</f>
        <v>0</v>
      </c>
      <c r="AG15" s="148">
        <f t="shared" si="0"/>
        <v>226</v>
      </c>
      <c r="AI15" s="7"/>
      <c r="AK15" s="7"/>
    </row>
    <row r="16" spans="1:35" ht="15" thickBot="1" thickTop="1">
      <c r="A16" s="225">
        <v>12</v>
      </c>
      <c r="B16" s="222" t="s">
        <v>1</v>
      </c>
      <c r="C16" s="227" t="s">
        <v>28</v>
      </c>
      <c r="D16" s="73" t="s">
        <v>16</v>
      </c>
      <c r="E16" s="74">
        <v>0</v>
      </c>
      <c r="F16" s="75">
        <v>0</v>
      </c>
      <c r="G16" s="75">
        <v>48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1">
        <f t="shared" si="0"/>
        <v>48</v>
      </c>
      <c r="AI16" s="7"/>
    </row>
    <row r="17" spans="1:35" ht="15" thickBot="1" thickTop="1">
      <c r="A17" s="226"/>
      <c r="B17" s="223"/>
      <c r="C17" s="228"/>
      <c r="D17" s="73" t="s">
        <v>17</v>
      </c>
      <c r="E17" s="83">
        <v>0</v>
      </c>
      <c r="F17" s="84">
        <v>0</v>
      </c>
      <c r="G17" s="84">
        <f>19*60+7</f>
        <v>1147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75">
        <v>0</v>
      </c>
      <c r="T17" s="75">
        <v>0</v>
      </c>
      <c r="U17" s="75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75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71">
        <f t="shared" si="0"/>
        <v>1147</v>
      </c>
      <c r="AI17" s="7"/>
    </row>
    <row r="18" spans="1:35" ht="15" thickBot="1" thickTop="1">
      <c r="A18" s="229">
        <v>13</v>
      </c>
      <c r="B18" s="223"/>
      <c r="C18" s="227" t="s">
        <v>35</v>
      </c>
      <c r="D18" s="73" t="s">
        <v>16</v>
      </c>
      <c r="E18" s="83">
        <v>0</v>
      </c>
      <c r="F18" s="84">
        <v>8</v>
      </c>
      <c r="G18" s="85">
        <v>43</v>
      </c>
      <c r="H18" s="85">
        <v>10</v>
      </c>
      <c r="I18" s="85">
        <v>5</v>
      </c>
      <c r="J18" s="85">
        <v>3</v>
      </c>
      <c r="K18" s="84">
        <v>24</v>
      </c>
      <c r="L18" s="85">
        <v>4</v>
      </c>
      <c r="M18" s="85">
        <f>25+331</f>
        <v>356</v>
      </c>
      <c r="N18" s="85">
        <v>14</v>
      </c>
      <c r="O18" s="85">
        <v>0</v>
      </c>
      <c r="P18" s="85">
        <v>7</v>
      </c>
      <c r="Q18" s="84">
        <v>0</v>
      </c>
      <c r="R18" s="85">
        <v>10</v>
      </c>
      <c r="S18" s="75">
        <v>0</v>
      </c>
      <c r="T18" s="75">
        <v>3</v>
      </c>
      <c r="U18" s="75">
        <v>0</v>
      </c>
      <c r="V18" s="85">
        <v>0</v>
      </c>
      <c r="W18" s="84">
        <v>3</v>
      </c>
      <c r="X18" s="84">
        <v>1</v>
      </c>
      <c r="Y18" s="84">
        <v>6</v>
      </c>
      <c r="Z18" s="84">
        <v>0</v>
      </c>
      <c r="AA18" s="75">
        <v>0</v>
      </c>
      <c r="AB18" s="85">
        <v>0</v>
      </c>
      <c r="AC18" s="85">
        <v>0</v>
      </c>
      <c r="AD18" s="85">
        <v>1</v>
      </c>
      <c r="AE18" s="85">
        <v>0</v>
      </c>
      <c r="AF18" s="85">
        <v>0</v>
      </c>
      <c r="AG18" s="71">
        <f t="shared" si="0"/>
        <v>498</v>
      </c>
      <c r="AI18" s="7"/>
    </row>
    <row r="19" spans="1:35" ht="15" thickBot="1" thickTop="1">
      <c r="A19" s="226"/>
      <c r="B19" s="223"/>
      <c r="C19" s="228"/>
      <c r="D19" s="73" t="s">
        <v>17</v>
      </c>
      <c r="E19" s="83">
        <v>0</v>
      </c>
      <c r="F19" s="84">
        <f>2*60+17</f>
        <v>137</v>
      </c>
      <c r="G19" s="85">
        <f>37*60+13</f>
        <v>2233</v>
      </c>
      <c r="H19" s="85">
        <f>5*60+22</f>
        <v>322</v>
      </c>
      <c r="I19" s="85">
        <v>122</v>
      </c>
      <c r="J19" s="85">
        <f>16*60+39</f>
        <v>999</v>
      </c>
      <c r="K19" s="84">
        <f>14*60+54</f>
        <v>894</v>
      </c>
      <c r="L19" s="85">
        <v>412</v>
      </c>
      <c r="M19" s="85">
        <f>10560+15986</f>
        <v>26546</v>
      </c>
      <c r="N19" s="85">
        <f>6*60+7</f>
        <v>367</v>
      </c>
      <c r="O19" s="85">
        <v>0</v>
      </c>
      <c r="P19" s="85">
        <f>60+52</f>
        <v>112</v>
      </c>
      <c r="Q19" s="84">
        <v>0</v>
      </c>
      <c r="R19" s="85">
        <f>130*60</f>
        <v>7800</v>
      </c>
      <c r="S19" s="75">
        <v>0</v>
      </c>
      <c r="T19" s="75">
        <v>281</v>
      </c>
      <c r="U19" s="75">
        <v>0</v>
      </c>
      <c r="V19" s="85">
        <v>0</v>
      </c>
      <c r="W19" s="84">
        <f>60+28</f>
        <v>88</v>
      </c>
      <c r="X19" s="84">
        <v>60</v>
      </c>
      <c r="Y19" s="84">
        <f>5*60+33</f>
        <v>333</v>
      </c>
      <c r="Z19" s="84">
        <v>0</v>
      </c>
      <c r="AA19" s="75">
        <v>0</v>
      </c>
      <c r="AB19" s="85">
        <v>0</v>
      </c>
      <c r="AC19" s="85">
        <v>0</v>
      </c>
      <c r="AD19" s="85">
        <f>60+36</f>
        <v>96</v>
      </c>
      <c r="AE19" s="85">
        <v>0</v>
      </c>
      <c r="AF19" s="85">
        <v>0</v>
      </c>
      <c r="AG19" s="71">
        <f t="shared" si="0"/>
        <v>40802</v>
      </c>
      <c r="AI19" s="7"/>
    </row>
    <row r="20" spans="1:35" ht="15" thickBot="1" thickTop="1">
      <c r="A20" s="229">
        <v>14</v>
      </c>
      <c r="B20" s="223"/>
      <c r="C20" s="227" t="s">
        <v>30</v>
      </c>
      <c r="D20" s="73" t="s">
        <v>16</v>
      </c>
      <c r="E20" s="83">
        <v>0</v>
      </c>
      <c r="F20" s="84">
        <v>2</v>
      </c>
      <c r="G20" s="85">
        <v>13</v>
      </c>
      <c r="H20" s="85">
        <v>0</v>
      </c>
      <c r="I20" s="85">
        <v>0</v>
      </c>
      <c r="J20" s="85">
        <v>1</v>
      </c>
      <c r="K20" s="84">
        <v>0</v>
      </c>
      <c r="L20" s="85">
        <v>1</v>
      </c>
      <c r="M20" s="85">
        <v>17</v>
      </c>
      <c r="N20" s="85">
        <v>2</v>
      </c>
      <c r="O20" s="85">
        <v>0</v>
      </c>
      <c r="P20" s="85">
        <v>0</v>
      </c>
      <c r="Q20" s="84">
        <v>0</v>
      </c>
      <c r="R20" s="85">
        <v>0</v>
      </c>
      <c r="S20" s="75">
        <v>0</v>
      </c>
      <c r="T20" s="75">
        <v>0</v>
      </c>
      <c r="U20" s="75">
        <v>0</v>
      </c>
      <c r="V20" s="85">
        <v>0</v>
      </c>
      <c r="W20" s="84">
        <v>1</v>
      </c>
      <c r="X20" s="84">
        <v>0</v>
      </c>
      <c r="Y20" s="84">
        <v>0</v>
      </c>
      <c r="Z20" s="84">
        <v>0</v>
      </c>
      <c r="AA20" s="7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71">
        <f t="shared" si="0"/>
        <v>37</v>
      </c>
      <c r="AI20" s="7"/>
    </row>
    <row r="21" spans="1:35" ht="15" thickBot="1" thickTop="1">
      <c r="A21" s="226"/>
      <c r="B21" s="223"/>
      <c r="C21" s="228"/>
      <c r="D21" s="73" t="s">
        <v>17</v>
      </c>
      <c r="E21" s="83">
        <v>0</v>
      </c>
      <c r="F21" s="84">
        <f>4*60</f>
        <v>240</v>
      </c>
      <c r="G21" s="85">
        <f>14*60+47</f>
        <v>887</v>
      </c>
      <c r="H21" s="85">
        <v>0</v>
      </c>
      <c r="I21" s="85">
        <v>0</v>
      </c>
      <c r="J21" s="85">
        <v>60</v>
      </c>
      <c r="K21" s="84">
        <v>0</v>
      </c>
      <c r="L21" s="85">
        <v>60</v>
      </c>
      <c r="M21" s="85">
        <v>2199</v>
      </c>
      <c r="N21" s="85">
        <f>2*60+6</f>
        <v>126</v>
      </c>
      <c r="O21" s="85">
        <v>0</v>
      </c>
      <c r="P21" s="85">
        <v>0</v>
      </c>
      <c r="Q21" s="84">
        <v>0</v>
      </c>
      <c r="R21" s="85">
        <v>0</v>
      </c>
      <c r="S21" s="75">
        <v>0</v>
      </c>
      <c r="T21" s="75">
        <v>0</v>
      </c>
      <c r="U21" s="75">
        <v>0</v>
      </c>
      <c r="V21" s="85">
        <v>0</v>
      </c>
      <c r="W21" s="84">
        <f>60+25</f>
        <v>85</v>
      </c>
      <c r="X21" s="84">
        <v>0</v>
      </c>
      <c r="Y21" s="84">
        <v>0</v>
      </c>
      <c r="Z21" s="84">
        <v>0</v>
      </c>
      <c r="AA21" s="7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71">
        <f t="shared" si="0"/>
        <v>3657</v>
      </c>
      <c r="AI21" s="7"/>
    </row>
    <row r="22" spans="1:35" ht="15" thickBot="1" thickTop="1">
      <c r="A22" s="229">
        <v>15</v>
      </c>
      <c r="B22" s="223"/>
      <c r="C22" s="227" t="s">
        <v>31</v>
      </c>
      <c r="D22" s="73" t="s">
        <v>16</v>
      </c>
      <c r="E22" s="83">
        <v>0</v>
      </c>
      <c r="F22" s="84">
        <v>2</v>
      </c>
      <c r="G22" s="85">
        <v>16</v>
      </c>
      <c r="H22" s="85">
        <v>2</v>
      </c>
      <c r="I22" s="85">
        <v>0</v>
      </c>
      <c r="J22" s="85">
        <v>3</v>
      </c>
      <c r="K22" s="84">
        <v>0</v>
      </c>
      <c r="L22" s="85">
        <v>15</v>
      </c>
      <c r="M22" s="85">
        <v>47</v>
      </c>
      <c r="N22" s="85">
        <v>6</v>
      </c>
      <c r="O22" s="85">
        <v>5</v>
      </c>
      <c r="P22" s="85">
        <v>1</v>
      </c>
      <c r="Q22" s="84">
        <v>1</v>
      </c>
      <c r="R22" s="85">
        <v>7</v>
      </c>
      <c r="S22" s="75">
        <v>0</v>
      </c>
      <c r="T22" s="75">
        <v>0</v>
      </c>
      <c r="U22" s="75">
        <v>0</v>
      </c>
      <c r="V22" s="85">
        <v>3</v>
      </c>
      <c r="W22" s="84">
        <v>8</v>
      </c>
      <c r="X22" s="85">
        <v>5</v>
      </c>
      <c r="Y22" s="85">
        <v>1</v>
      </c>
      <c r="Z22" s="85">
        <v>0</v>
      </c>
      <c r="AA22" s="75">
        <v>0</v>
      </c>
      <c r="AB22" s="85">
        <v>4</v>
      </c>
      <c r="AC22" s="85">
        <v>4</v>
      </c>
      <c r="AD22" s="85">
        <v>0</v>
      </c>
      <c r="AE22" s="85">
        <v>0</v>
      </c>
      <c r="AF22" s="85">
        <v>0</v>
      </c>
      <c r="AG22" s="71">
        <f t="shared" si="0"/>
        <v>130</v>
      </c>
      <c r="AI22" s="7"/>
    </row>
    <row r="23" spans="1:42" ht="15" thickBot="1" thickTop="1">
      <c r="A23" s="226"/>
      <c r="B23" s="223"/>
      <c r="C23" s="228"/>
      <c r="D23" s="73" t="s">
        <v>17</v>
      </c>
      <c r="E23" s="87">
        <v>0</v>
      </c>
      <c r="F23" s="88">
        <f>2*60+45</f>
        <v>165</v>
      </c>
      <c r="G23" s="89">
        <f>14*60+12</f>
        <v>852</v>
      </c>
      <c r="H23" s="89">
        <v>60</v>
      </c>
      <c r="I23" s="89">
        <v>0</v>
      </c>
      <c r="J23" s="89">
        <v>120</v>
      </c>
      <c r="K23" s="88">
        <v>0</v>
      </c>
      <c r="L23" s="89">
        <v>790</v>
      </c>
      <c r="M23" s="89">
        <v>1907</v>
      </c>
      <c r="N23" s="89">
        <f>4*60+86</f>
        <v>326</v>
      </c>
      <c r="O23" s="89">
        <v>416</v>
      </c>
      <c r="P23" s="89">
        <f>4*60+36</f>
        <v>276</v>
      </c>
      <c r="Q23" s="88">
        <v>60</v>
      </c>
      <c r="R23" s="89">
        <f>123*60</f>
        <v>7380</v>
      </c>
      <c r="S23" s="89">
        <v>0</v>
      </c>
      <c r="T23" s="89">
        <v>0</v>
      </c>
      <c r="U23" s="75">
        <v>0</v>
      </c>
      <c r="V23" s="89">
        <v>120</v>
      </c>
      <c r="W23" s="88">
        <f>120+54</f>
        <v>174</v>
      </c>
      <c r="X23" s="89">
        <f>2*60+25</f>
        <v>145</v>
      </c>
      <c r="Y23" s="89">
        <v>60</v>
      </c>
      <c r="Z23" s="89">
        <v>0</v>
      </c>
      <c r="AA23" s="75">
        <v>0</v>
      </c>
      <c r="AB23" s="89">
        <v>125</v>
      </c>
      <c r="AC23" s="89">
        <f>4*60+26</f>
        <v>266</v>
      </c>
      <c r="AD23" s="89">
        <v>0</v>
      </c>
      <c r="AE23" s="89">
        <v>0</v>
      </c>
      <c r="AF23" s="89">
        <v>0</v>
      </c>
      <c r="AG23" s="71">
        <f t="shared" si="0"/>
        <v>13242</v>
      </c>
      <c r="AI23" s="7"/>
      <c r="AP23" s="7"/>
    </row>
    <row r="24" spans="1:35" ht="15" thickBot="1" thickTop="1">
      <c r="A24" s="97">
        <v>16</v>
      </c>
      <c r="B24" s="223"/>
      <c r="C24" s="209" t="s">
        <v>44</v>
      </c>
      <c r="D24" s="210"/>
      <c r="E24" s="91">
        <f>IF((E16+E18+E20+E22)&gt;E36,0,(+E36-E16-E18-E20-E22))</f>
        <v>47</v>
      </c>
      <c r="F24" s="92">
        <f aca="true" t="shared" si="5" ref="F24:AB24">IF((F16+F18+F20+F22)&gt;F36,0,(+F36-F16-F18-F20-F22))</f>
        <v>1</v>
      </c>
      <c r="G24" s="92">
        <f t="shared" si="5"/>
        <v>25</v>
      </c>
      <c r="H24" s="92">
        <f>IF((H16+H18+H20+H22)&gt;H36,0,(+H36-H16-H18-H20-H22))</f>
        <v>0</v>
      </c>
      <c r="I24" s="92">
        <f t="shared" si="5"/>
        <v>0</v>
      </c>
      <c r="J24" s="92">
        <f t="shared" si="5"/>
        <v>4</v>
      </c>
      <c r="K24" s="92">
        <f t="shared" si="5"/>
        <v>0</v>
      </c>
      <c r="L24" s="92">
        <f t="shared" si="5"/>
        <v>40</v>
      </c>
      <c r="M24" s="92">
        <f t="shared" si="5"/>
        <v>85</v>
      </c>
      <c r="N24" s="92">
        <f t="shared" si="5"/>
        <v>0</v>
      </c>
      <c r="O24" s="92">
        <f>IF((O16+O18+O20+O22)&gt;O36,0,(+O36-O16-O18-O20-O22))</f>
        <v>7</v>
      </c>
      <c r="P24" s="92">
        <f>IF((P16+P18+P20+P22)&gt;P36,0,(+P36-P16-P18-P20-P22))</f>
        <v>2</v>
      </c>
      <c r="Q24" s="92">
        <f>IF((Q16+Q18+Q20+Q22)&gt;Q36,0,(+Q36-Q16-Q18-Q20-Q22))</f>
        <v>0</v>
      </c>
      <c r="R24" s="92">
        <f t="shared" si="5"/>
        <v>6</v>
      </c>
      <c r="S24" s="92">
        <f t="shared" si="5"/>
        <v>28</v>
      </c>
      <c r="T24" s="92">
        <f>IF((T16+T18+T20+T22)&gt;T36,0,(+T36-T16-T18-T20-T22))</f>
        <v>0</v>
      </c>
      <c r="U24" s="92">
        <f>IF((U16+U18+U20+U22)&gt;U36,0,(+U36-U16-U18-U20-U22))</f>
        <v>4</v>
      </c>
      <c r="V24" s="92">
        <f t="shared" si="5"/>
        <v>8</v>
      </c>
      <c r="W24" s="92">
        <f t="shared" si="5"/>
        <v>6</v>
      </c>
      <c r="X24" s="92">
        <f t="shared" si="5"/>
        <v>28</v>
      </c>
      <c r="Y24" s="92">
        <f>IF((Y16+Y18+Y20+Y22)&gt;Y36,0,(+Y36-Y16-Y18-Y20-Y22))</f>
        <v>0</v>
      </c>
      <c r="Z24" s="92">
        <f>IF((Z16+Z18+Z20+Z22)&gt;Z36,0,(+Z36-Z16-Z18-Z20-Z22))</f>
        <v>7</v>
      </c>
      <c r="AA24" s="92">
        <f t="shared" si="5"/>
        <v>24</v>
      </c>
      <c r="AB24" s="92">
        <f t="shared" si="5"/>
        <v>27</v>
      </c>
      <c r="AC24" s="92">
        <f>IF((AC16+AC18+AC20+AC22)&gt;AC36,0,(+AC36-AC16-AC18-AC20-AC22))</f>
        <v>1</v>
      </c>
      <c r="AD24" s="92">
        <f>IF((AD16+AD18+AD20+AD22)&gt;AD36,0,(+AD36-AD16-AD18-AD20-AD22))</f>
        <v>1</v>
      </c>
      <c r="AE24" s="92">
        <f>IF((AE16+AE18+AE20+AE22)&gt;AE36,0,(+AE36-AE16-AE18-AE20-AE22))</f>
        <v>5</v>
      </c>
      <c r="AF24" s="92">
        <f>IF((AF16+AF18+AF20+AF22)&gt;AF36,0,(+AF36-AF16-AF18-AF20-AF22))</f>
        <v>9</v>
      </c>
      <c r="AG24" s="71">
        <f t="shared" si="0"/>
        <v>365</v>
      </c>
      <c r="AI24" s="7"/>
    </row>
    <row r="25" spans="1:44" ht="15" thickBot="1" thickTop="1">
      <c r="A25" s="229">
        <v>17</v>
      </c>
      <c r="B25" s="223"/>
      <c r="C25" s="212" t="s">
        <v>22</v>
      </c>
      <c r="D25" s="110" t="s">
        <v>36</v>
      </c>
      <c r="E25" s="115">
        <f>IF((E16+E18+E20+E22)&gt;E36,(E16+E18+E20+E22),E36)</f>
        <v>47</v>
      </c>
      <c r="F25" s="116">
        <f aca="true" t="shared" si="6" ref="F25:AB25">IF((F16+F18+F20+F22)&gt;F36,(F16+F18+F20+F22),F36)</f>
        <v>13</v>
      </c>
      <c r="G25" s="116">
        <f t="shared" si="6"/>
        <v>145</v>
      </c>
      <c r="H25" s="116">
        <f t="shared" si="6"/>
        <v>12</v>
      </c>
      <c r="I25" s="116">
        <f t="shared" si="6"/>
        <v>5</v>
      </c>
      <c r="J25" s="116">
        <f t="shared" si="6"/>
        <v>11</v>
      </c>
      <c r="K25" s="116">
        <f t="shared" si="6"/>
        <v>24</v>
      </c>
      <c r="L25" s="116">
        <f t="shared" si="6"/>
        <v>60</v>
      </c>
      <c r="M25" s="116">
        <f t="shared" si="6"/>
        <v>505</v>
      </c>
      <c r="N25" s="116">
        <f t="shared" si="6"/>
        <v>22</v>
      </c>
      <c r="O25" s="116">
        <f>IF((O16+O18+O20+O22)&gt;O36,(O16+O18+O20+O22),O36)</f>
        <v>12</v>
      </c>
      <c r="P25" s="116">
        <f>IF((P16+P18+P20+P22)&gt;P36,(P16+P18+P20+P22),P36)</f>
        <v>10</v>
      </c>
      <c r="Q25" s="116">
        <f>IF((Q16+Q18+Q20+Q22)&gt;Q36,(Q16+Q18+Q20+Q22),Q36)</f>
        <v>1</v>
      </c>
      <c r="R25" s="116">
        <f t="shared" si="6"/>
        <v>23</v>
      </c>
      <c r="S25" s="116">
        <f t="shared" si="6"/>
        <v>28</v>
      </c>
      <c r="T25" s="116">
        <f>IF((T16+T18+T20+T22)&gt;T36,(T16+T18+T20+T22),T36)</f>
        <v>3</v>
      </c>
      <c r="U25" s="116">
        <f>IF((U16+U18+U20+U22)&gt;U36,(U16+U18+U20+U22),U36)</f>
        <v>4</v>
      </c>
      <c r="V25" s="116">
        <f t="shared" si="6"/>
        <v>11</v>
      </c>
      <c r="W25" s="116">
        <f t="shared" si="6"/>
        <v>18</v>
      </c>
      <c r="X25" s="116">
        <f t="shared" si="6"/>
        <v>34</v>
      </c>
      <c r="Y25" s="116">
        <f>IF((Y16+Y18+Y20+Y22)&gt;Y36,(Y16+Y18+Y20+Y22),Y36)</f>
        <v>7</v>
      </c>
      <c r="Z25" s="116">
        <f>IF((Z16+Z18+Z20+Z22)&gt;Z36,(Z16+Z18+Z20+Z22),Z36)</f>
        <v>7</v>
      </c>
      <c r="AA25" s="116">
        <f t="shared" si="6"/>
        <v>24</v>
      </c>
      <c r="AB25" s="116">
        <f t="shared" si="6"/>
        <v>31</v>
      </c>
      <c r="AC25" s="116">
        <f>IF((AC16+AC18+AC20+AC22)&gt;AC36,(AC16+AC18+AC20+AC22),AC36)</f>
        <v>5</v>
      </c>
      <c r="AD25" s="116">
        <f>IF((AD16+AD18+AD20+AD22)&gt;AD36,(AD16+AD18+AD20+AD22),AD36)</f>
        <v>2</v>
      </c>
      <c r="AE25" s="116">
        <f>IF((AE16+AE18+AE20+AE22)&gt;AE36,(AE16+AE18+AE20+AE22),AE36)</f>
        <v>5</v>
      </c>
      <c r="AF25" s="116">
        <f>IF((AF16+AF18+AF20+AF22)&gt;AF36,(AF16+AF18+AF20+AF22),AF36)</f>
        <v>9</v>
      </c>
      <c r="AG25" s="71">
        <f t="shared" si="0"/>
        <v>1078</v>
      </c>
      <c r="AI25" s="7"/>
      <c r="AR25" s="7"/>
    </row>
    <row r="26" spans="1:37" ht="15" thickBot="1" thickTop="1">
      <c r="A26" s="230"/>
      <c r="B26" s="224"/>
      <c r="C26" s="213"/>
      <c r="D26" s="98" t="s">
        <v>17</v>
      </c>
      <c r="E26" s="91">
        <f>+E17+E19+E21+E23</f>
        <v>0</v>
      </c>
      <c r="F26" s="92">
        <f aca="true" t="shared" si="7" ref="F26:AB26">+F17+F19+F21+F23</f>
        <v>542</v>
      </c>
      <c r="G26" s="92">
        <f t="shared" si="7"/>
        <v>5119</v>
      </c>
      <c r="H26" s="92">
        <f t="shared" si="7"/>
        <v>382</v>
      </c>
      <c r="I26" s="92">
        <f t="shared" si="7"/>
        <v>122</v>
      </c>
      <c r="J26" s="92">
        <f t="shared" si="7"/>
        <v>1179</v>
      </c>
      <c r="K26" s="92">
        <f t="shared" si="7"/>
        <v>894</v>
      </c>
      <c r="L26" s="92">
        <f t="shared" si="7"/>
        <v>1262</v>
      </c>
      <c r="M26" s="92">
        <f t="shared" si="7"/>
        <v>30652</v>
      </c>
      <c r="N26" s="92">
        <f t="shared" si="7"/>
        <v>819</v>
      </c>
      <c r="O26" s="92">
        <f>+O17+O19+O21+O23</f>
        <v>416</v>
      </c>
      <c r="P26" s="92">
        <f>+P17+P19+P21+P23</f>
        <v>388</v>
      </c>
      <c r="Q26" s="92">
        <f t="shared" si="7"/>
        <v>60</v>
      </c>
      <c r="R26" s="92">
        <f t="shared" si="7"/>
        <v>15180</v>
      </c>
      <c r="S26" s="92">
        <f t="shared" si="7"/>
        <v>0</v>
      </c>
      <c r="T26" s="92">
        <f>+T17+T19+T21+T23</f>
        <v>281</v>
      </c>
      <c r="U26" s="92">
        <f>+U17+U19+U21+U23</f>
        <v>0</v>
      </c>
      <c r="V26" s="92">
        <f t="shared" si="7"/>
        <v>120</v>
      </c>
      <c r="W26" s="92">
        <f>+W17+W19+X21+W23</f>
        <v>262</v>
      </c>
      <c r="X26" s="92">
        <f>+X17+X19+Y21+X23</f>
        <v>205</v>
      </c>
      <c r="Y26" s="92">
        <f>+Y17+Y19+AA21+Y23</f>
        <v>393</v>
      </c>
      <c r="Z26" s="92">
        <f>+Z17+Z19+AB21+Z23</f>
        <v>0</v>
      </c>
      <c r="AA26" s="92">
        <f t="shared" si="7"/>
        <v>0</v>
      </c>
      <c r="AB26" s="92">
        <f t="shared" si="7"/>
        <v>125</v>
      </c>
      <c r="AC26" s="92">
        <f>+AC17+AC19+AC21+AC23</f>
        <v>266</v>
      </c>
      <c r="AD26" s="92">
        <f>+AD17+AD19+AD21+AD23</f>
        <v>96</v>
      </c>
      <c r="AE26" s="92">
        <f>+AE17+AE19+AE21+AE23</f>
        <v>0</v>
      </c>
      <c r="AF26" s="92">
        <f>+AF17+AF19+AF21+AF23</f>
        <v>0</v>
      </c>
      <c r="AG26" s="71">
        <f t="shared" si="0"/>
        <v>58763</v>
      </c>
      <c r="AI26" s="7"/>
      <c r="AK26" s="7"/>
    </row>
    <row r="27" spans="1:37" ht="15" thickBot="1" thickTop="1">
      <c r="A27" s="99">
        <v>18</v>
      </c>
      <c r="B27" s="234" t="s">
        <v>18</v>
      </c>
      <c r="C27" s="235"/>
      <c r="D27" s="235"/>
      <c r="E27" s="153">
        <f aca="true" t="shared" si="8" ref="E27:R27">E5+E6+E7</f>
        <v>145</v>
      </c>
      <c r="F27" s="153">
        <f t="shared" si="8"/>
        <v>13</v>
      </c>
      <c r="G27" s="153">
        <f t="shared" si="8"/>
        <v>698</v>
      </c>
      <c r="H27" s="153">
        <f t="shared" si="8"/>
        <v>29</v>
      </c>
      <c r="I27" s="153">
        <f t="shared" si="8"/>
        <v>29</v>
      </c>
      <c r="J27" s="153">
        <f t="shared" si="8"/>
        <v>16</v>
      </c>
      <c r="K27" s="153">
        <f t="shared" si="8"/>
        <v>29</v>
      </c>
      <c r="L27" s="153">
        <f t="shared" si="8"/>
        <v>146</v>
      </c>
      <c r="M27" s="153">
        <f t="shared" si="8"/>
        <v>1008</v>
      </c>
      <c r="N27" s="153">
        <f t="shared" si="8"/>
        <v>87</v>
      </c>
      <c r="O27" s="153">
        <f>O5+O6+O7</f>
        <v>54</v>
      </c>
      <c r="P27" s="153">
        <f t="shared" si="8"/>
        <v>71</v>
      </c>
      <c r="Q27" s="153">
        <f t="shared" si="8"/>
        <v>4</v>
      </c>
      <c r="R27" s="153">
        <f t="shared" si="8"/>
        <v>58</v>
      </c>
      <c r="S27" s="153">
        <f aca="true" t="shared" si="9" ref="S27:AA27">S5+S6+S7</f>
        <v>54</v>
      </c>
      <c r="T27" s="153">
        <f>T5+T6+T7</f>
        <v>8</v>
      </c>
      <c r="U27" s="153">
        <f>U5+U6+U7</f>
        <v>29</v>
      </c>
      <c r="V27" s="153">
        <f t="shared" si="9"/>
        <v>87</v>
      </c>
      <c r="W27" s="153">
        <f t="shared" si="9"/>
        <v>41</v>
      </c>
      <c r="X27" s="153">
        <f t="shared" si="9"/>
        <v>87</v>
      </c>
      <c r="Y27" s="153">
        <f>Y5+Y6+Y7</f>
        <v>20</v>
      </c>
      <c r="Z27" s="153">
        <f>Z5+Z6+Z7</f>
        <v>26</v>
      </c>
      <c r="AA27" s="153">
        <f t="shared" si="9"/>
        <v>77</v>
      </c>
      <c r="AB27" s="153">
        <f>AB5+AB6+AB7</f>
        <v>70</v>
      </c>
      <c r="AC27" s="153">
        <f>AC5+AC6+AC7</f>
        <v>13</v>
      </c>
      <c r="AD27" s="153">
        <f>AD5+AD6+AD7</f>
        <v>29</v>
      </c>
      <c r="AE27" s="153">
        <f>AE5+AE6+AE7</f>
        <v>29</v>
      </c>
      <c r="AF27" s="153">
        <f>AF5+AF6+AF7</f>
        <v>12</v>
      </c>
      <c r="AG27" s="71">
        <f t="shared" si="0"/>
        <v>2969</v>
      </c>
      <c r="AI27" s="7"/>
      <c r="AK27" s="7"/>
    </row>
    <row r="28" spans="1:35" ht="15" thickBot="1" thickTop="1">
      <c r="A28" s="100">
        <v>19</v>
      </c>
      <c r="B28" s="236" t="s">
        <v>19</v>
      </c>
      <c r="C28" s="237"/>
      <c r="D28" s="237"/>
      <c r="E28" s="154">
        <f aca="true" t="shared" si="10" ref="E28:R28">E27-E8</f>
        <v>145</v>
      </c>
      <c r="F28" s="154">
        <f t="shared" si="10"/>
        <v>13</v>
      </c>
      <c r="G28" s="154">
        <f t="shared" si="10"/>
        <v>694</v>
      </c>
      <c r="H28" s="154">
        <f t="shared" si="10"/>
        <v>29</v>
      </c>
      <c r="I28" s="154">
        <f t="shared" si="10"/>
        <v>17</v>
      </c>
      <c r="J28" s="154">
        <f t="shared" si="10"/>
        <v>16</v>
      </c>
      <c r="K28" s="154">
        <f t="shared" si="10"/>
        <v>29</v>
      </c>
      <c r="L28" s="154">
        <f t="shared" si="10"/>
        <v>146</v>
      </c>
      <c r="M28" s="154">
        <f t="shared" si="10"/>
        <v>1008</v>
      </c>
      <c r="N28" s="154">
        <f t="shared" si="10"/>
        <v>87</v>
      </c>
      <c r="O28" s="154">
        <f>O27-O8</f>
        <v>54</v>
      </c>
      <c r="P28" s="154">
        <f t="shared" si="10"/>
        <v>71</v>
      </c>
      <c r="Q28" s="154">
        <f t="shared" si="10"/>
        <v>4</v>
      </c>
      <c r="R28" s="154">
        <f t="shared" si="10"/>
        <v>58</v>
      </c>
      <c r="S28" s="154">
        <f aca="true" t="shared" si="11" ref="S28:AA28">S27-S8</f>
        <v>54</v>
      </c>
      <c r="T28" s="154">
        <f>T27-T8</f>
        <v>8</v>
      </c>
      <c r="U28" s="154">
        <f>U27-U8</f>
        <v>29</v>
      </c>
      <c r="V28" s="154">
        <f t="shared" si="11"/>
        <v>87</v>
      </c>
      <c r="W28" s="154">
        <f t="shared" si="11"/>
        <v>41</v>
      </c>
      <c r="X28" s="154">
        <f t="shared" si="11"/>
        <v>87</v>
      </c>
      <c r="Y28" s="154">
        <f>Y27-Y8</f>
        <v>20</v>
      </c>
      <c r="Z28" s="154">
        <f>Z27-Z8</f>
        <v>26</v>
      </c>
      <c r="AA28" s="154">
        <f t="shared" si="11"/>
        <v>77</v>
      </c>
      <c r="AB28" s="154">
        <f>AB27-AB8</f>
        <v>67</v>
      </c>
      <c r="AC28" s="154">
        <f>AC27-AC8</f>
        <v>13</v>
      </c>
      <c r="AD28" s="154">
        <f>AD27-AD8</f>
        <v>29</v>
      </c>
      <c r="AE28" s="154">
        <f>AE27-AE8</f>
        <v>29</v>
      </c>
      <c r="AF28" s="154">
        <f>AF27-AF8</f>
        <v>12</v>
      </c>
      <c r="AG28" s="71">
        <f t="shared" si="0"/>
        <v>2950</v>
      </c>
      <c r="AI28" s="7"/>
    </row>
    <row r="29" spans="1:37" ht="15" thickBot="1" thickTop="1">
      <c r="A29" s="101">
        <v>20</v>
      </c>
      <c r="B29" s="238" t="s">
        <v>20</v>
      </c>
      <c r="C29" s="239"/>
      <c r="D29" s="239"/>
      <c r="E29" s="155">
        <f>+E28-E9-E10-E11-E12-E16-E18-E20-E22-E24</f>
        <v>84</v>
      </c>
      <c r="F29" s="155">
        <f aca="true" t="shared" si="12" ref="F29:AB29">+F28-F9-F10-F11-F12-F16-F18-F20-F22-F24</f>
        <v>0</v>
      </c>
      <c r="G29" s="155">
        <f t="shared" si="12"/>
        <v>490</v>
      </c>
      <c r="H29" s="155">
        <f t="shared" si="12"/>
        <v>17</v>
      </c>
      <c r="I29" s="155">
        <f t="shared" si="12"/>
        <v>12</v>
      </c>
      <c r="J29" s="155">
        <f t="shared" si="12"/>
        <v>4</v>
      </c>
      <c r="K29" s="155">
        <f t="shared" si="12"/>
        <v>2</v>
      </c>
      <c r="L29" s="155">
        <f t="shared" si="12"/>
        <v>84</v>
      </c>
      <c r="M29" s="155">
        <f t="shared" si="12"/>
        <v>495</v>
      </c>
      <c r="N29" s="155">
        <f t="shared" si="12"/>
        <v>63</v>
      </c>
      <c r="O29" s="155">
        <f>+O28-O9-O10-O11-O12-O16-O18-O20-O22-O24</f>
        <v>7</v>
      </c>
      <c r="P29" s="155">
        <f>+P28-P9-P10-P11-P12-P16-P18-P20-P22-P24</f>
        <v>47</v>
      </c>
      <c r="Q29" s="155">
        <f t="shared" si="12"/>
        <v>3</v>
      </c>
      <c r="R29" s="155">
        <f t="shared" si="12"/>
        <v>35</v>
      </c>
      <c r="S29" s="155">
        <f t="shared" si="12"/>
        <v>11</v>
      </c>
      <c r="T29" s="155">
        <f>+T28-T9-T10-T11-T12-T16-T18-T20-T22-T24</f>
        <v>2</v>
      </c>
      <c r="U29" s="155">
        <f>+U28-U9-U10-U11-U12-U16-U18-U20-U22-U24</f>
        <v>25</v>
      </c>
      <c r="V29" s="155">
        <f t="shared" si="12"/>
        <v>57</v>
      </c>
      <c r="W29" s="155">
        <f t="shared" si="12"/>
        <v>23</v>
      </c>
      <c r="X29" s="155">
        <f t="shared" si="12"/>
        <v>36</v>
      </c>
      <c r="Y29" s="155">
        <f>+Y28-Y9-Y10-Y11-Y12-Y16-Y18-Y20-Y22-Y24</f>
        <v>6</v>
      </c>
      <c r="Z29" s="155">
        <f>+Z28-Z9-Z10-Z11-Z12-Z16-Z18-Z20-Z22-Z24</f>
        <v>18</v>
      </c>
      <c r="AA29" s="155">
        <f t="shared" si="12"/>
        <v>53</v>
      </c>
      <c r="AB29" s="155">
        <f t="shared" si="12"/>
        <v>30</v>
      </c>
      <c r="AC29" s="155">
        <f>+AC28-AC9-AC10-AC11-AC12-AC16-AC18-AC20-AC22-AC24</f>
        <v>8</v>
      </c>
      <c r="AD29" s="155">
        <f>+AD28-AD9-AD10-AD11-AD12-AD16-AD18-AD20-AD22-AD24</f>
        <v>26</v>
      </c>
      <c r="AE29" s="155">
        <f>+AE28-AE9-AE10-AE11-AE12-AE16-AE18-AE20-AE22-AE24</f>
        <v>24</v>
      </c>
      <c r="AF29" s="155">
        <f>+AF28-AF9-AF10-AF11-AF12-AF16-AF18-AF20-AF22-AF24</f>
        <v>3</v>
      </c>
      <c r="AG29" s="71">
        <f t="shared" si="0"/>
        <v>1665</v>
      </c>
      <c r="AI29" s="7"/>
      <c r="AK29" s="7"/>
    </row>
    <row r="30" spans="1:37" s="8" customFormat="1" ht="34.5" customHeight="1" thickBot="1" thickTop="1">
      <c r="A30" s="103">
        <v>21</v>
      </c>
      <c r="B30" s="240" t="s">
        <v>52</v>
      </c>
      <c r="C30" s="241"/>
      <c r="D30" s="241"/>
      <c r="E30" s="151">
        <f>IF(E28=0,0,(IF(E29=0,0,((E29-E6-E7)/(E5-E9-E16-E18)))))</f>
        <v>0.5793103448275863</v>
      </c>
      <c r="F30" s="151">
        <f>IF(F28=0,0,(IF(F29=0,0,((F29-F6-F7)/(F5-F9-F16-F18)))))</f>
        <v>0</v>
      </c>
      <c r="G30" s="151">
        <f aca="true" t="shared" si="13" ref="G30:AB30">IF(G28=0,0,(IF(G29=0,0,((G29-G6-G7)/(G5-G9-G16-G18)))))</f>
        <v>0.8072487644151565</v>
      </c>
      <c r="H30" s="151">
        <f t="shared" si="13"/>
        <v>0.8947368421052632</v>
      </c>
      <c r="I30" s="151">
        <f t="shared" si="13"/>
        <v>0.5</v>
      </c>
      <c r="J30" s="151">
        <f t="shared" si="13"/>
        <v>0.3076923076923077</v>
      </c>
      <c r="K30" s="151">
        <f t="shared" si="13"/>
        <v>0.4</v>
      </c>
      <c r="L30" s="151">
        <f t="shared" si="13"/>
        <v>0.5915492957746479</v>
      </c>
      <c r="M30" s="151">
        <f t="shared" si="13"/>
        <v>0.7686335403726708</v>
      </c>
      <c r="N30" s="151">
        <f>IF(N28=0,0,(IF(N29=0,0,((N29-N6-N7)/(N5-N9-N16-N18)))))</f>
        <v>0.8873239436619719</v>
      </c>
      <c r="O30" s="151">
        <f>IF(O28=0,0,(IF(O29=0,0,((O29-O6-O7)/(O5-O9-O16-O18)))))</f>
        <v>0.12962962962962962</v>
      </c>
      <c r="P30" s="151">
        <f>IF(P28=0,0,(IF(P29=0,0,((P29-P6-P7)/(P5-P9-P16-P18)))))</f>
        <v>0.7580645161290323</v>
      </c>
      <c r="Q30" s="151">
        <f t="shared" si="13"/>
        <v>0.75</v>
      </c>
      <c r="R30" s="151">
        <f t="shared" si="13"/>
        <v>0.7291666666666666</v>
      </c>
      <c r="S30" s="151">
        <f t="shared" si="13"/>
        <v>0.2037037037037037</v>
      </c>
      <c r="T30" s="151">
        <f>IF(T28=0,0,(IF(T29=0,0,((T29-T6-T7)/(T5-T9-T16-T18)))))</f>
        <v>0.4</v>
      </c>
      <c r="U30" s="151">
        <f>IF(U28=0,0,(IF(U29=0,0,((U29-U6-U7)/(U5-U9-U16-U18)))))</f>
        <v>0.8620689655172413</v>
      </c>
      <c r="V30" s="151">
        <f t="shared" si="13"/>
        <v>0.6551724137931034</v>
      </c>
      <c r="W30" s="151">
        <f t="shared" si="13"/>
        <v>0.6052631578947368</v>
      </c>
      <c r="X30" s="151">
        <f t="shared" si="13"/>
        <v>0.4186046511627907</v>
      </c>
      <c r="Y30" s="151">
        <f t="shared" si="13"/>
        <v>0.42857142857142855</v>
      </c>
      <c r="Z30" s="151">
        <f>IF(Z28=0,0,(IF(Z29=0,0,((Z29-Z6-Z7)/(Z5-Z9-Z16-Z18)))))</f>
        <v>0.6923076923076923</v>
      </c>
      <c r="AA30" s="151">
        <f>IF(AA28=0,0,(IF(AA29=0,0,((AA29-AA6-AA7)/(AA5-AA9-AA16-AA18)))))</f>
        <v>0.6883116883116883</v>
      </c>
      <c r="AB30" s="151">
        <f t="shared" si="13"/>
        <v>0.42857142857142855</v>
      </c>
      <c r="AC30" s="151">
        <f>IF(AC28=0,0,(IF(AC29=0,0,((AC29-AC6-AC7)/(AC5-AC9-AC16-AC18)))))</f>
        <v>0.6153846153846154</v>
      </c>
      <c r="AD30" s="151">
        <f>IF(AD28=0,0,(IF(AD29=0,0,((AD29-AD6-AD7)/(AD5-AD9-AD16-AD18)))))</f>
        <v>0.9285714285714286</v>
      </c>
      <c r="AE30" s="151">
        <f>IF(AE28=0,0,(IF(AE29=0,0,((AE29-AE6-AE7)/(AE5-AE9-AE16-AE18)))))</f>
        <v>0.8275862068965517</v>
      </c>
      <c r="AF30" s="151">
        <f>IF(AF28=0,0,(IF(AF29=0,0,((AF29-AF6-AF7)/(AF5-AF9-AF16-AF18)))))</f>
        <v>0.25</v>
      </c>
      <c r="AG30" s="146">
        <f>IF(AG28=0,0,(AG29/(AG28-AG18)))</f>
        <v>0.6790375203915171</v>
      </c>
      <c r="AI30" s="7"/>
      <c r="AK30" s="10"/>
    </row>
    <row r="31" spans="1:37" ht="15" thickBot="1" thickTop="1">
      <c r="A31" s="102">
        <v>22</v>
      </c>
      <c r="B31" s="231" t="s">
        <v>32</v>
      </c>
      <c r="C31" s="232"/>
      <c r="D31" s="232"/>
      <c r="E31" s="152">
        <f>+(E29-E6-E7)/E5</f>
        <v>0.5793103448275863</v>
      </c>
      <c r="F31" s="152">
        <f aca="true" t="shared" si="14" ref="F31:AG31">+(F29-F6-F7)/F5</f>
        <v>0</v>
      </c>
      <c r="G31" s="152">
        <f t="shared" si="14"/>
        <v>0.7020057306590258</v>
      </c>
      <c r="H31" s="152">
        <f t="shared" si="14"/>
        <v>0.5862068965517241</v>
      </c>
      <c r="I31" s="152">
        <f t="shared" si="14"/>
        <v>0.41379310344827586</v>
      </c>
      <c r="J31" s="152">
        <f t="shared" si="14"/>
        <v>0.25</v>
      </c>
      <c r="K31" s="152">
        <f t="shared" si="14"/>
        <v>0.06896551724137931</v>
      </c>
      <c r="L31" s="152">
        <f t="shared" si="14"/>
        <v>0.5753424657534246</v>
      </c>
      <c r="M31" s="152">
        <f t="shared" si="14"/>
        <v>0.49107142857142855</v>
      </c>
      <c r="N31" s="152">
        <f>+(N29-N6-N7)/N5</f>
        <v>0.7241379310344828</v>
      </c>
      <c r="O31" s="152">
        <f>+(O29-O6-O7)/O5</f>
        <v>0.12962962962962962</v>
      </c>
      <c r="P31" s="152">
        <f t="shared" si="14"/>
        <v>0.6619718309859155</v>
      </c>
      <c r="Q31" s="152">
        <f t="shared" si="14"/>
        <v>0.75</v>
      </c>
      <c r="R31" s="152">
        <f t="shared" si="14"/>
        <v>0.603448275862069</v>
      </c>
      <c r="S31" s="152">
        <f t="shared" si="14"/>
        <v>0.2037037037037037</v>
      </c>
      <c r="T31" s="152">
        <f t="shared" si="14"/>
        <v>0.25</v>
      </c>
      <c r="U31" s="152">
        <f t="shared" si="14"/>
        <v>0.8620689655172413</v>
      </c>
      <c r="V31" s="152">
        <f t="shared" si="14"/>
        <v>0.6551724137931034</v>
      </c>
      <c r="W31" s="152">
        <f t="shared" si="14"/>
        <v>0.5609756097560976</v>
      </c>
      <c r="X31" s="152">
        <f t="shared" si="14"/>
        <v>0.41379310344827586</v>
      </c>
      <c r="Y31" s="152">
        <f t="shared" si="14"/>
        <v>0.3</v>
      </c>
      <c r="Z31" s="152">
        <f t="shared" si="14"/>
        <v>0.6923076923076923</v>
      </c>
      <c r="AA31" s="152">
        <f t="shared" si="14"/>
        <v>0.6883116883116883</v>
      </c>
      <c r="AB31" s="152">
        <f t="shared" si="14"/>
        <v>0.42857142857142855</v>
      </c>
      <c r="AC31" s="152">
        <f t="shared" si="14"/>
        <v>0.6153846153846154</v>
      </c>
      <c r="AD31" s="152">
        <f>+(AD29-AD6-AD7)/AD5</f>
        <v>0.896551724137931</v>
      </c>
      <c r="AE31" s="152">
        <f>+(AE29-AE6-AE7)/AE5</f>
        <v>0.8275862068965517</v>
      </c>
      <c r="AF31" s="152">
        <f>+(AF29-AF6-AF7)/AF5</f>
        <v>0.25</v>
      </c>
      <c r="AG31" s="147">
        <f t="shared" si="14"/>
        <v>0.5607948804311216</v>
      </c>
      <c r="AI31" s="7"/>
      <c r="AK31" s="7"/>
    </row>
    <row r="32" spans="1:35" ht="15" thickBot="1" thickTop="1">
      <c r="A32" s="108">
        <v>23</v>
      </c>
      <c r="B32" s="219" t="s">
        <v>21</v>
      </c>
      <c r="C32" s="233"/>
      <c r="D32" s="114" t="s">
        <v>17</v>
      </c>
      <c r="E32" s="109">
        <f>+E26/E25</f>
        <v>0</v>
      </c>
      <c r="F32" s="109">
        <f>+F26/F25</f>
        <v>41.69230769230769</v>
      </c>
      <c r="G32" s="109">
        <f aca="true" t="shared" si="15" ref="G32:AB32">+G26/G25</f>
        <v>35.30344827586207</v>
      </c>
      <c r="H32" s="109">
        <f>+H26/H25</f>
        <v>31.833333333333332</v>
      </c>
      <c r="I32" s="109">
        <f t="shared" si="15"/>
        <v>24.4</v>
      </c>
      <c r="J32" s="109">
        <f t="shared" si="15"/>
        <v>107.18181818181819</v>
      </c>
      <c r="K32" s="109">
        <f t="shared" si="15"/>
        <v>37.25</v>
      </c>
      <c r="L32" s="109">
        <f t="shared" si="15"/>
        <v>21.033333333333335</v>
      </c>
      <c r="M32" s="109">
        <f t="shared" si="15"/>
        <v>60.6970297029703</v>
      </c>
      <c r="N32" s="109">
        <f>+N26/N25</f>
        <v>37.22727272727273</v>
      </c>
      <c r="O32" s="109">
        <v>1</v>
      </c>
      <c r="P32" s="109">
        <f>+P26/P25</f>
        <v>38.8</v>
      </c>
      <c r="Q32" s="109">
        <f t="shared" si="15"/>
        <v>60</v>
      </c>
      <c r="R32" s="109">
        <f t="shared" si="15"/>
        <v>660</v>
      </c>
      <c r="S32" s="109">
        <f t="shared" si="15"/>
        <v>0</v>
      </c>
      <c r="T32" s="109">
        <f>+T26/T25</f>
        <v>93.66666666666667</v>
      </c>
      <c r="U32" s="109">
        <f>+U26/U25</f>
        <v>0</v>
      </c>
      <c r="V32" s="109">
        <f t="shared" si="15"/>
        <v>10.909090909090908</v>
      </c>
      <c r="W32" s="109">
        <f t="shared" si="15"/>
        <v>14.555555555555555</v>
      </c>
      <c r="X32" s="109">
        <f t="shared" si="15"/>
        <v>6.029411764705882</v>
      </c>
      <c r="Y32" s="109">
        <f>+Y26/Y25</f>
        <v>56.142857142857146</v>
      </c>
      <c r="Z32" s="109">
        <f>+Z26/Z25</f>
        <v>0</v>
      </c>
      <c r="AA32" s="109">
        <f t="shared" si="15"/>
        <v>0</v>
      </c>
      <c r="AB32" s="109">
        <f t="shared" si="15"/>
        <v>4.032258064516129</v>
      </c>
      <c r="AC32" s="109">
        <f>+AC26/AC25</f>
        <v>53.2</v>
      </c>
      <c r="AD32" s="109">
        <f>+AD26/AD25</f>
        <v>48</v>
      </c>
      <c r="AE32" s="109">
        <f>+AE26/AE25</f>
        <v>0</v>
      </c>
      <c r="AF32" s="109">
        <f>+AF26/AF25</f>
        <v>0</v>
      </c>
      <c r="AG32" s="109">
        <f>+AG26/AG25</f>
        <v>54.51113172541744</v>
      </c>
      <c r="AI32" s="7"/>
    </row>
    <row r="33" spans="1:35" ht="13.5" thickTop="1">
      <c r="A33" s="211" t="s">
        <v>57</v>
      </c>
      <c r="B33" s="211"/>
      <c r="C33" s="211"/>
      <c r="D33" s="211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I33" s="7"/>
    </row>
    <row r="34" spans="27:35" ht="13.5" thickBot="1">
      <c r="AA34"/>
      <c r="AB34"/>
      <c r="AC34"/>
      <c r="AD34"/>
      <c r="AE34"/>
      <c r="AF34"/>
      <c r="AI34" s="7"/>
    </row>
    <row r="35" spans="3:35" ht="15" thickBot="1" thickTop="1">
      <c r="C35" s="27" t="s">
        <v>60</v>
      </c>
      <c r="E35" s="11">
        <v>14</v>
      </c>
      <c r="F35" s="12">
        <v>0</v>
      </c>
      <c r="G35" s="12">
        <v>63</v>
      </c>
      <c r="H35" s="12">
        <v>0</v>
      </c>
      <c r="I35" s="12">
        <v>12</v>
      </c>
      <c r="J35" s="12">
        <v>1</v>
      </c>
      <c r="K35" s="12">
        <v>3</v>
      </c>
      <c r="L35" s="12">
        <v>2</v>
      </c>
      <c r="M35" s="12">
        <v>8</v>
      </c>
      <c r="N35" s="12">
        <v>2</v>
      </c>
      <c r="O35" s="12">
        <v>35</v>
      </c>
      <c r="P35" s="12">
        <v>14</v>
      </c>
      <c r="Q35" s="12">
        <v>0</v>
      </c>
      <c r="R35" s="12">
        <v>0</v>
      </c>
      <c r="S35" s="12">
        <v>15</v>
      </c>
      <c r="T35" s="12">
        <v>3</v>
      </c>
      <c r="U35" s="12">
        <v>0</v>
      </c>
      <c r="V35" s="12">
        <v>19</v>
      </c>
      <c r="W35" s="12">
        <v>0</v>
      </c>
      <c r="X35" s="12">
        <v>17</v>
      </c>
      <c r="Y35" s="12">
        <v>7</v>
      </c>
      <c r="Z35" s="12">
        <v>1</v>
      </c>
      <c r="AA35" s="12">
        <v>0</v>
      </c>
      <c r="AB35" s="12">
        <v>9</v>
      </c>
      <c r="AC35" s="12">
        <v>0</v>
      </c>
      <c r="AD35" s="12">
        <v>1</v>
      </c>
      <c r="AE35" s="12">
        <v>0</v>
      </c>
      <c r="AF35" s="12">
        <v>0</v>
      </c>
      <c r="AG35" s="9">
        <f>SUM(E35:AF35)</f>
        <v>226</v>
      </c>
      <c r="AI35" s="7"/>
    </row>
    <row r="36" spans="3:35" ht="15" thickBot="1" thickTop="1">
      <c r="C36" s="27" t="s">
        <v>61</v>
      </c>
      <c r="E36" s="16">
        <v>47</v>
      </c>
      <c r="F36" s="17">
        <v>13</v>
      </c>
      <c r="G36" s="18">
        <v>145</v>
      </c>
      <c r="H36" s="18">
        <v>12</v>
      </c>
      <c r="I36" s="18">
        <v>5</v>
      </c>
      <c r="J36" s="18">
        <v>11</v>
      </c>
      <c r="K36" s="18">
        <v>22</v>
      </c>
      <c r="L36" s="18">
        <v>60</v>
      </c>
      <c r="M36" s="18">
        <v>505</v>
      </c>
      <c r="N36" s="18">
        <v>22</v>
      </c>
      <c r="O36" s="18">
        <v>12</v>
      </c>
      <c r="P36" s="18">
        <v>10</v>
      </c>
      <c r="Q36" s="18">
        <v>1</v>
      </c>
      <c r="R36" s="18">
        <v>23</v>
      </c>
      <c r="S36" s="18">
        <v>28</v>
      </c>
      <c r="T36" s="18">
        <v>1</v>
      </c>
      <c r="U36" s="18">
        <v>4</v>
      </c>
      <c r="V36" s="18">
        <v>11</v>
      </c>
      <c r="W36" s="18">
        <v>18</v>
      </c>
      <c r="X36" s="18">
        <v>34</v>
      </c>
      <c r="Y36" s="18">
        <v>6</v>
      </c>
      <c r="Z36" s="18">
        <v>7</v>
      </c>
      <c r="AA36" s="18">
        <v>24</v>
      </c>
      <c r="AB36" s="18">
        <v>31</v>
      </c>
      <c r="AC36" s="18">
        <v>5</v>
      </c>
      <c r="AD36" s="18">
        <v>2</v>
      </c>
      <c r="AE36" s="18">
        <v>5</v>
      </c>
      <c r="AF36" s="18">
        <v>9</v>
      </c>
      <c r="AG36" s="9">
        <f>SUM(E36:AF36)</f>
        <v>1073</v>
      </c>
      <c r="AI36" s="7"/>
    </row>
    <row r="37" ht="13.5" thickTop="1"/>
  </sheetData>
  <sheetProtection/>
  <mergeCells count="33">
    <mergeCell ref="B31:D31"/>
    <mergeCell ref="B32:C32"/>
    <mergeCell ref="B27:D27"/>
    <mergeCell ref="B28:D28"/>
    <mergeCell ref="B29:D29"/>
    <mergeCell ref="B30:D30"/>
    <mergeCell ref="A16:A17"/>
    <mergeCell ref="B16:B26"/>
    <mergeCell ref="C16:C17"/>
    <mergeCell ref="A18:A19"/>
    <mergeCell ref="C18:C19"/>
    <mergeCell ref="A20:A21"/>
    <mergeCell ref="C20:C21"/>
    <mergeCell ref="A22:A23"/>
    <mergeCell ref="C22:C23"/>
    <mergeCell ref="A25:A26"/>
    <mergeCell ref="B4:D4"/>
    <mergeCell ref="C14:D14"/>
    <mergeCell ref="C15:D15"/>
    <mergeCell ref="B5:D5"/>
    <mergeCell ref="B6:D6"/>
    <mergeCell ref="B7:D7"/>
    <mergeCell ref="B8:B15"/>
    <mergeCell ref="E33:AG33"/>
    <mergeCell ref="C8:D8"/>
    <mergeCell ref="C9:D9"/>
    <mergeCell ref="C10:D10"/>
    <mergeCell ref="C11:D11"/>
    <mergeCell ref="C13:D13"/>
    <mergeCell ref="C12:D12"/>
    <mergeCell ref="A33:D33"/>
    <mergeCell ref="C25:C26"/>
    <mergeCell ref="C24:D24"/>
  </mergeCells>
  <printOptions/>
  <pageMargins left="0.1968503937007874" right="0.1968503937007874" top="0.1968503937007874" bottom="0.1968503937007874" header="0" footer="0"/>
  <pageSetup horizontalDpi="600" verticalDpi="600" orientation="landscape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L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Febrero</dc:title>
  <dc:subject/>
  <dc:creator>4242800</dc:creator>
  <cp:keywords/>
  <dc:description/>
  <cp:lastModifiedBy>Tatiana del Pilar Ballen Lozano</cp:lastModifiedBy>
  <cp:lastPrinted>2012-02-13T17:13:41Z</cp:lastPrinted>
  <dcterms:created xsi:type="dcterms:W3CDTF">2009-09-24T13:18:33Z</dcterms:created>
  <dcterms:modified xsi:type="dcterms:W3CDTF">2012-07-16T13:55:05Z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AEVVZYF6TF2M-623-180</vt:lpwstr>
  </property>
  <property fmtid="{D5CDD505-2E9C-101B-9397-08002B2CF9AE}" pid="4" name="_dlc_DocIdItemGu">
    <vt:lpwstr>6122cec1-00d1-49b0-b9d6-2c9f8b750db8</vt:lpwstr>
  </property>
  <property fmtid="{D5CDD505-2E9C-101B-9397-08002B2CF9AE}" pid="5" name="_dlc_DocIdU">
    <vt:lpwstr>http://www.aerocivil.gov.co/AAeronautica/Estadisticas/TAereo/_layouts/DocIdRedir.aspx?ID=AEVVZYF6TF2M-623-180, AEVVZYF6TF2M-623-180</vt:lpwstr>
  </property>
  <property fmtid="{D5CDD505-2E9C-101B-9397-08002B2CF9AE}" pid="6" name="Cla">
    <vt:lpwstr/>
  </property>
  <property fmtid="{D5CDD505-2E9C-101B-9397-08002B2CF9AE}" pid="7" name="Secci">
    <vt:lpwstr>Calidad del Servicio</vt:lpwstr>
  </property>
  <property fmtid="{D5CDD505-2E9C-101B-9397-08002B2CF9AE}" pid="8" name="Ord">
    <vt:lpwstr>26</vt:lpwstr>
  </property>
  <property fmtid="{D5CDD505-2E9C-101B-9397-08002B2CF9AE}" pid="9" name="Filt">
    <vt:lpwstr>CALIDAD 2012</vt:lpwstr>
  </property>
  <property fmtid="{D5CDD505-2E9C-101B-9397-08002B2CF9AE}" pid="10" name="Forma">
    <vt:lpwstr>/Style%20Library/Images/xls.svg</vt:lpwstr>
  </property>
</Properties>
</file>